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PISOS" sheetId="1" r:id="rId1"/>
    <sheet name="MEIO FIO" sheetId="2" r:id="rId2"/>
    <sheet name="PAVIMENTAÇÃO" sheetId="8" r:id="rId3"/>
    <sheet name="DRENAGEM" sheetId="4" r:id="rId4"/>
    <sheet name="CALÇADA" sheetId="5" r:id="rId5"/>
    <sheet name="SINALIZAÇÃO" sheetId="9" r:id="rId6"/>
    <sheet name="PISO TÁTIL CÁLCULO POR ÁREAS" sheetId="7" r:id="rId7"/>
  </sheets>
  <calcPr calcId="124519"/>
</workbook>
</file>

<file path=xl/calcChain.xml><?xml version="1.0" encoding="utf-8"?>
<calcChain xmlns="http://schemas.openxmlformats.org/spreadsheetml/2006/main">
  <c r="G7" i="5"/>
  <c r="G6"/>
  <c r="G5"/>
  <c r="G4"/>
  <c r="G3"/>
  <c r="G12" i="9"/>
  <c r="G10"/>
  <c r="G14" s="1"/>
  <c r="G15" s="1"/>
  <c r="G6"/>
  <c r="G19" i="8"/>
  <c r="G14"/>
  <c r="G12"/>
  <c r="G7"/>
  <c r="G16" s="1"/>
  <c r="R4" i="1"/>
  <c r="R5"/>
  <c r="R6"/>
  <c r="Q4"/>
  <c r="Q5"/>
  <c r="Q6"/>
  <c r="O4"/>
  <c r="O5"/>
  <c r="O6"/>
  <c r="Q3"/>
  <c r="O3"/>
  <c r="G17" i="8" l="1"/>
  <c r="G8"/>
  <c r="G10" s="1"/>
  <c r="R3" i="1"/>
  <c r="E20" i="4" l="1"/>
  <c r="G9" i="5"/>
  <c r="G8"/>
  <c r="E19" i="4" l="1"/>
  <c r="L16"/>
  <c r="M16" s="1"/>
  <c r="I16" s="1"/>
  <c r="L15"/>
  <c r="M15" s="1"/>
  <c r="I15" s="1"/>
  <c r="H15"/>
  <c r="L14"/>
  <c r="M14" s="1"/>
  <c r="I14" s="1"/>
  <c r="L13"/>
  <c r="M13" s="1"/>
  <c r="I13" s="1"/>
  <c r="H13"/>
  <c r="L12"/>
  <c r="M12" s="1"/>
  <c r="I12" s="1"/>
  <c r="L11"/>
  <c r="M11" s="1"/>
  <c r="I11" s="1"/>
  <c r="H11"/>
  <c r="L10"/>
  <c r="H10" s="1"/>
  <c r="J8"/>
  <c r="J7"/>
  <c r="J6"/>
  <c r="J5"/>
  <c r="J4"/>
  <c r="J3"/>
  <c r="J2"/>
  <c r="C3" i="7"/>
  <c r="H3" s="1"/>
  <c r="M4"/>
  <c r="M5"/>
  <c r="M6"/>
  <c r="O4"/>
  <c r="O5"/>
  <c r="O6"/>
  <c r="O3"/>
  <c r="M3"/>
  <c r="C4"/>
  <c r="C5"/>
  <c r="C6"/>
  <c r="G6"/>
  <c r="G5"/>
  <c r="G4"/>
  <c r="G3"/>
  <c r="I4" i="1"/>
  <c r="I5"/>
  <c r="I6"/>
  <c r="E4"/>
  <c r="G4" s="1"/>
  <c r="J4" s="1"/>
  <c r="E5"/>
  <c r="G5" s="1"/>
  <c r="E6"/>
  <c r="G6" s="1"/>
  <c r="M10" i="4" l="1"/>
  <c r="I10" s="1"/>
  <c r="I19" s="1"/>
  <c r="H12"/>
  <c r="H19" s="1"/>
  <c r="H14"/>
  <c r="H16"/>
  <c r="J6" i="1"/>
  <c r="O7" i="7"/>
  <c r="P5"/>
  <c r="M7"/>
  <c r="H4"/>
  <c r="P4"/>
  <c r="H5"/>
  <c r="G7"/>
  <c r="H6"/>
  <c r="P6"/>
  <c r="E7"/>
  <c r="P3"/>
  <c r="T4" i="1"/>
  <c r="T6"/>
  <c r="J5"/>
  <c r="R5" i="7" l="1"/>
  <c r="T5" i="1"/>
  <c r="R4" i="7"/>
  <c r="R3"/>
  <c r="P7"/>
  <c r="R6"/>
  <c r="H7"/>
  <c r="Q7" i="1"/>
  <c r="I3"/>
  <c r="O7"/>
  <c r="E3"/>
  <c r="G3" s="1"/>
  <c r="R7" i="7" l="1"/>
  <c r="R7" i="1"/>
  <c r="I7"/>
  <c r="J3"/>
  <c r="T3" s="1"/>
  <c r="J7" l="1"/>
  <c r="T7" s="1"/>
  <c r="G10" i="5" l="1"/>
</calcChain>
</file>

<file path=xl/sharedStrings.xml><?xml version="1.0" encoding="utf-8"?>
<sst xmlns="http://schemas.openxmlformats.org/spreadsheetml/2006/main" count="187" uniqueCount="116">
  <si>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</si>
  <si>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</si>
  <si>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</si>
  <si>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</si>
  <si>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</si>
  <si>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</si>
  <si>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</si>
  <si>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</si>
  <si>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</si>
  <si>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</si>
  <si>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</si>
  <si>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</si>
  <si>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</si>
  <si>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</si>
  <si>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</si>
  <si>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</si>
  <si>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</si>
  <si>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</si>
  <si>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</si>
  <si>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</si>
  <si>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</si>
  <si>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</si>
  <si>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</si>
  <si>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</si>
  <si>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</si>
  <si>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</si>
  <si>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</si>
  <si>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</si>
  <si>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</si>
  <si>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</si>
  <si>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</si>
  <si>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</si>
  <si>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</si>
  <si>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</si>
  <si>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</si>
  <si>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</si>
  <si>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</si>
  <si>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</si>
  <si>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</si>
  <si>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</si>
  <si>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</si>
  <si>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</si>
  <si>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</si>
  <si>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</si>
  <si>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</si>
  <si>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</si>
  <si>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</si>
  <si>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</si>
  <si>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</si>
  <si>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</si>
  <si>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</si>
  <si>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</si>
  <si>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</si>
  <si>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</si>
  <si>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</si>
  <si>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</si>
  <si>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</si>
  <si>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</si>
  <si>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</si>
  <si>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</si>
  <si>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</si>
  <si>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</si>
  <si>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</si>
  <si>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</si>
  <si>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</si>
  <si>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</si>
  <si>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</si>
  <si>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EXTENSÃO DO PISO TÁTIL (m)</t>
  </si>
  <si>
    <t>ÁREA DA CALÇADA FORA MEIO FIO (m²)</t>
  </si>
  <si>
    <t>ÁREA DE MEIO FIO (L x 0,12)(M²)</t>
  </si>
  <si>
    <t>SOMATÓRIO DAS LARGURAS DAS CALÇADAS ONDE SERÃO FEITAS RAMPAS (m)</t>
  </si>
  <si>
    <t>EXTENSÃO DA CALÇADA COM PISO TÁTIL EXCETO LIMPA RODA (m)</t>
  </si>
  <si>
    <t>ÁREA CALÇADA TOTAL HACHURAS DESENHO (m²)</t>
  </si>
  <si>
    <t>Q5</t>
  </si>
  <si>
    <t>Q6</t>
  </si>
  <si>
    <t>ÁREA DA CALÇADA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</si>
  <si>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</si>
  <si>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</si>
  <si>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</si>
  <si>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</si>
  <si>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</si>
  <si>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</si>
  <si>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</si>
  <si>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</si>
  <si>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</si>
  <si>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</si>
  <si>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</si>
  <si>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</si>
  <si>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</si>
  <si>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</si>
  <si>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</si>
  <si>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</si>
  <si>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</si>
  <si>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</si>
  <si>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</si>
  <si>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</si>
  <si>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</si>
  <si>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</si>
  <si>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</si>
  <si>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REGULAR. E COMPACT. COM LASTRO DE PÓ DE BRITA ESP 4cm</t>
  </si>
  <si>
    <t>COLCHÃO DE AREIA COMPACTADO ESP 4cm</t>
  </si>
  <si>
    <t>REGULARIZAÇÃO MECÂNICA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</si>
  <si>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</si>
  <si>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</si>
  <si>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</si>
  <si>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</si>
  <si>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</si>
  <si>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</si>
  <si>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</si>
  <si>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</si>
  <si>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</si>
  <si>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 xml:space="preserve">QUANTIDADE DE PARADAS PARA PEDESTRES </t>
  </si>
  <si>
    <t>QUANTIDADE DE FAIXA DE RETENÇÃO 4,00m</t>
  </si>
  <si>
    <t>ÁREA DE PINTURA DE FAIXA DE RETENÇÃO EXTRA</t>
  </si>
  <si>
    <t>ÁREA TOTAL DE PINTURA REFLETIVA</t>
  </si>
  <si>
    <t>PISO TÁTIL TOTAL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</si>
</sst>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6" fillId="0" borderId="1" xfId="0" applyFont="1" applyBorder="1" applyAlignment="1">
      <alignment horizontal="centerContinuous" vertical="justify" wrapText="1"/>
    </xf>
    <xf numFmtId="2" fontId="6" fillId="0" borderId="1" xfId="0" applyNumberFormat="1" applyFont="1" applyBorder="1"/>
    <xf numFmtId="0" fontId="6" fillId="0" borderId="0" xfId="0" applyFont="1"/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workbookViewId="0">
      <selection activeCell="Q3" sqref="Q3"/>
    </sheetView>
  </sheetViews>
  <sheetFormatPr defaultRowHeight="15"/>
  <cols>
    <col min="1" max="1" width="8.28515625" customWidth="1"/>
    <col min="2" max="3" width="10" customWidth="1"/>
    <col min="4" max="4" width="10.28515625" customWidth="1"/>
    <col min="5" max="5" width="11.42578125" customWidth="1"/>
    <col min="6" max="6" width="9.28515625" customWidth="1"/>
    <col min="7" max="7" width="11.140625" customWidth="1"/>
    <col min="8" max="8" width="9.28515625" style="16" customWidth="1"/>
    <col min="9" max="9" width="7" bestFit="1" customWidth="1"/>
    <col min="10" max="10" width="11.42578125" bestFit="1" customWidth="1"/>
    <col min="11" max="11" width="8.85546875" style="10" customWidth="1"/>
    <col min="12" max="12" width="11.5703125" style="10" bestFit="1" customWidth="1"/>
    <col min="13" max="13" width="8" style="10" bestFit="1" customWidth="1"/>
    <col min="14" max="14" width="8.85546875" style="10" bestFit="1" customWidth="1"/>
    <col min="15" max="15" width="7.5703125" bestFit="1" customWidth="1"/>
    <col min="16" max="17" width="8.28515625" bestFit="1" customWidth="1"/>
    <col min="18" max="18" width="7" bestFit="1" customWidth="1"/>
    <col min="19" max="19" width="6.85546875" bestFit="1" customWidth="1"/>
    <col min="20" max="20" width="9" bestFit="1" customWidth="1"/>
  </cols>
  <sheetData>
    <row r="1" spans="1:20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5"/>
    </row>
    <row r="2" spans="1:20" s="1" customFormat="1" ht="126" customHeight="1">
      <c r="A2" s="2" t="s">
        <v>1</v>
      </c>
      <c r="B2" s="3" t="s">
        <v>2</v>
      </c>
      <c r="C2" s="3" t="s">
        <v>67</v>
      </c>
      <c r="D2" s="3" t="s">
        <v>20</v>
      </c>
      <c r="E2" s="3" t="s">
        <v>8</v>
      </c>
      <c r="F2" s="4" t="s">
        <v>7</v>
      </c>
      <c r="G2" s="4" t="s">
        <v>9</v>
      </c>
      <c r="H2" s="15" t="s">
        <v>51</v>
      </c>
      <c r="I2" s="4" t="s">
        <v>64</v>
      </c>
      <c r="J2" s="4" t="s">
        <v>10</v>
      </c>
      <c r="K2" s="17" t="s">
        <v>56</v>
      </c>
      <c r="L2" s="17" t="s">
        <v>61</v>
      </c>
      <c r="M2" s="17" t="s">
        <v>57</v>
      </c>
      <c r="N2" s="4" t="s">
        <v>58</v>
      </c>
      <c r="O2" s="4" t="s">
        <v>11</v>
      </c>
      <c r="P2" s="4" t="s">
        <v>59</v>
      </c>
      <c r="Q2" s="4" t="s">
        <v>12</v>
      </c>
      <c r="R2" s="4" t="s">
        <v>13</v>
      </c>
      <c r="S2" s="4" t="s">
        <v>60</v>
      </c>
      <c r="T2" s="4" t="s">
        <v>14</v>
      </c>
    </row>
    <row r="3" spans="1:20">
      <c r="A3" s="22" t="s">
        <v>3</v>
      </c>
      <c r="B3" s="23">
        <v>232</v>
      </c>
      <c r="C3" s="23"/>
      <c r="D3" s="23">
        <v>3</v>
      </c>
      <c r="E3" s="22">
        <f>B3-(D3*0.12)</f>
        <v>231.64</v>
      </c>
      <c r="F3" s="24">
        <v>1.88</v>
      </c>
      <c r="G3" s="22">
        <f>(E3*F3)</f>
        <v>435.48319999999995</v>
      </c>
      <c r="H3" s="25">
        <v>3</v>
      </c>
      <c r="I3" s="26">
        <f>0.57*H3</f>
        <v>1.71</v>
      </c>
      <c r="J3" s="22">
        <f>G3-I3</f>
        <v>433.77319999999997</v>
      </c>
      <c r="K3" s="13">
        <v>4</v>
      </c>
      <c r="L3" s="13">
        <v>3</v>
      </c>
      <c r="M3" s="13">
        <v>0</v>
      </c>
      <c r="N3" s="13">
        <v>0</v>
      </c>
      <c r="O3" s="26">
        <f>((((2*F3+1.2)*K3)+(L3*0.4+M3*1.8))*0.4)+N3</f>
        <v>8.4160000000000004</v>
      </c>
      <c r="P3" s="23">
        <v>0</v>
      </c>
      <c r="Q3" s="26">
        <f>((B3-((1.08+0.12)*H3)-5.6*K3)*0.4)+P3</f>
        <v>82.4</v>
      </c>
      <c r="R3" s="22">
        <f>SUM(O3,Q3)</f>
        <v>90.816000000000003</v>
      </c>
      <c r="S3" s="23">
        <v>0</v>
      </c>
      <c r="T3" s="23">
        <f>J3-R3+S3</f>
        <v>342.95719999999994</v>
      </c>
    </row>
    <row r="4" spans="1:20">
      <c r="A4" s="22" t="s">
        <v>4</v>
      </c>
      <c r="B4" s="23">
        <v>232</v>
      </c>
      <c r="C4" s="23"/>
      <c r="D4" s="23">
        <v>3</v>
      </c>
      <c r="E4" s="22">
        <f t="shared" ref="E4:E6" si="0">B4-(D4*0.12)</f>
        <v>231.64</v>
      </c>
      <c r="F4" s="24">
        <v>1.88</v>
      </c>
      <c r="G4" s="22">
        <f t="shared" ref="G4:G6" si="1">(E4*F4)</f>
        <v>435.48319999999995</v>
      </c>
      <c r="H4" s="25">
        <v>3</v>
      </c>
      <c r="I4" s="26">
        <f t="shared" ref="I4:I6" si="2">0.57*H4</f>
        <v>1.71</v>
      </c>
      <c r="J4" s="22">
        <f t="shared" ref="J4:J6" si="3">G4-I4</f>
        <v>433.77319999999997</v>
      </c>
      <c r="K4" s="13">
        <v>4</v>
      </c>
      <c r="L4" s="13">
        <v>3</v>
      </c>
      <c r="M4" s="13">
        <v>8</v>
      </c>
      <c r="N4" s="13">
        <v>0</v>
      </c>
      <c r="O4" s="26">
        <f t="shared" ref="O4:O6" si="4">((((2*F4+1.2)*K4)+(L4*0.4+M4*1.8))*0.4)+N4</f>
        <v>14.176</v>
      </c>
      <c r="P4" s="23">
        <v>0</v>
      </c>
      <c r="Q4" s="26">
        <f t="shared" ref="Q4:Q6" si="5">((B4-((1.08+0.12)*H4)-5.6*K4)*0.4)+P4</f>
        <v>82.4</v>
      </c>
      <c r="R4" s="22">
        <f t="shared" ref="R4:R6" si="6">SUM(O4,Q4)</f>
        <v>96.576000000000008</v>
      </c>
      <c r="S4" s="23">
        <v>0</v>
      </c>
      <c r="T4" s="23">
        <f t="shared" ref="T4:T6" si="7">J4-R4+S4</f>
        <v>337.19719999999995</v>
      </c>
    </row>
    <row r="5" spans="1:20">
      <c r="A5" s="22" t="s">
        <v>5</v>
      </c>
      <c r="B5" s="23">
        <v>0</v>
      </c>
      <c r="C5" s="23"/>
      <c r="D5" s="23">
        <v>0</v>
      </c>
      <c r="E5" s="22">
        <f t="shared" si="0"/>
        <v>0</v>
      </c>
      <c r="F5" s="24">
        <v>0</v>
      </c>
      <c r="G5" s="22">
        <f t="shared" si="1"/>
        <v>0</v>
      </c>
      <c r="H5" s="25">
        <v>0</v>
      </c>
      <c r="I5" s="26">
        <f t="shared" si="2"/>
        <v>0</v>
      </c>
      <c r="J5" s="22">
        <f t="shared" si="3"/>
        <v>0</v>
      </c>
      <c r="K5" s="13">
        <v>0</v>
      </c>
      <c r="L5" s="13">
        <v>0</v>
      </c>
      <c r="M5" s="13">
        <v>0</v>
      </c>
      <c r="N5" s="13">
        <v>0</v>
      </c>
      <c r="O5" s="26">
        <f t="shared" si="4"/>
        <v>0</v>
      </c>
      <c r="P5" s="23">
        <v>0</v>
      </c>
      <c r="Q5" s="26">
        <f t="shared" si="5"/>
        <v>0</v>
      </c>
      <c r="R5" s="22">
        <f t="shared" si="6"/>
        <v>0</v>
      </c>
      <c r="S5" s="23">
        <v>0</v>
      </c>
      <c r="T5" s="23">
        <f t="shared" si="7"/>
        <v>0</v>
      </c>
    </row>
    <row r="6" spans="1:20">
      <c r="A6" s="22" t="s">
        <v>6</v>
      </c>
      <c r="B6" s="23">
        <v>0</v>
      </c>
      <c r="C6" s="23"/>
      <c r="D6" s="23">
        <v>0</v>
      </c>
      <c r="E6" s="22">
        <f t="shared" si="0"/>
        <v>0</v>
      </c>
      <c r="F6" s="24">
        <v>0</v>
      </c>
      <c r="G6" s="22">
        <f t="shared" si="1"/>
        <v>0</v>
      </c>
      <c r="H6" s="27">
        <v>0</v>
      </c>
      <c r="I6" s="26">
        <f t="shared" si="2"/>
        <v>0</v>
      </c>
      <c r="J6" s="22">
        <f t="shared" si="3"/>
        <v>0</v>
      </c>
      <c r="K6" s="13">
        <v>0</v>
      </c>
      <c r="L6" s="13">
        <v>0</v>
      </c>
      <c r="M6" s="13">
        <v>0</v>
      </c>
      <c r="N6" s="13">
        <v>0</v>
      </c>
      <c r="O6" s="26">
        <f t="shared" si="4"/>
        <v>0</v>
      </c>
      <c r="P6" s="23">
        <v>0</v>
      </c>
      <c r="Q6" s="26">
        <f t="shared" si="5"/>
        <v>0</v>
      </c>
      <c r="R6" s="22">
        <f t="shared" si="6"/>
        <v>0</v>
      </c>
      <c r="S6" s="23">
        <v>0</v>
      </c>
      <c r="T6" s="23">
        <f t="shared" si="7"/>
        <v>0</v>
      </c>
    </row>
    <row r="7" spans="1:20">
      <c r="A7" s="28"/>
      <c r="B7" s="28"/>
      <c r="C7" s="28"/>
      <c r="D7" s="28"/>
      <c r="E7" s="28"/>
      <c r="F7" s="28"/>
      <c r="G7" s="22"/>
      <c r="H7" s="27"/>
      <c r="I7" s="22">
        <f t="shared" ref="I7" si="8">SUM(I3:I6)</f>
        <v>3.42</v>
      </c>
      <c r="J7" s="29">
        <f>SUM(J3:J6)</f>
        <v>867.54639999999995</v>
      </c>
      <c r="K7" s="30"/>
      <c r="L7" s="30"/>
      <c r="M7" s="30"/>
      <c r="N7" s="30"/>
      <c r="O7" s="31">
        <f t="shared" ref="O7:R7" si="9">SUM(O3:O6)</f>
        <v>22.591999999999999</v>
      </c>
      <c r="P7" s="31"/>
      <c r="Q7" s="31">
        <f t="shared" si="9"/>
        <v>164.8</v>
      </c>
      <c r="R7" s="31">
        <f t="shared" si="9"/>
        <v>187.392</v>
      </c>
      <c r="S7" s="31"/>
      <c r="T7" s="29">
        <f>J7-R7</f>
        <v>680.1543999999999</v>
      </c>
    </row>
  </sheetData>
  <mergeCells count="1">
    <mergeCell ref="A1:T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D12" sqref="D12"/>
    </sheetView>
  </sheetViews>
  <sheetFormatPr defaultRowHeight="15"/>
  <sheetData>
    <row r="1" spans="1:4" ht="27" customHeight="1">
      <c r="A1" s="76" t="s">
        <v>15</v>
      </c>
      <c r="B1" s="77"/>
      <c r="C1" s="77"/>
      <c r="D1" s="78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33"/>
      <c r="C3" s="6"/>
      <c r="D3" s="7"/>
    </row>
    <row r="4" spans="1:4">
      <c r="A4" s="5" t="s">
        <v>18</v>
      </c>
      <c r="B4" s="33"/>
      <c r="C4" s="6"/>
      <c r="D4" s="7"/>
    </row>
    <row r="5" spans="1:4">
      <c r="A5" s="5" t="s">
        <v>19</v>
      </c>
      <c r="B5" s="33"/>
      <c r="C5" s="6"/>
      <c r="D5" s="7"/>
    </row>
    <row r="6" spans="1:4">
      <c r="A6" s="5" t="s">
        <v>6</v>
      </c>
      <c r="B6" s="33"/>
      <c r="C6" s="8"/>
      <c r="D6" s="9"/>
    </row>
    <row r="7" spans="1:4">
      <c r="A7" s="34" t="s">
        <v>73</v>
      </c>
      <c r="B7" s="33">
        <v>0</v>
      </c>
      <c r="C7" s="6"/>
      <c r="D7" s="6"/>
    </row>
    <row r="8" spans="1:4">
      <c r="A8" s="34" t="s">
        <v>74</v>
      </c>
      <c r="B8" s="33"/>
      <c r="C8" s="6"/>
      <c r="D8" s="6"/>
    </row>
    <row r="9" spans="1:4">
      <c r="B9" s="33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3"/>
  <dimension ref="A2:H19"/>
  <sheetViews>
    <sheetView workbookViewId="0">
      <selection activeCell="G12" sqref="G12"/>
    </sheetView>
  </sheetViews>
  <sheetFormatPr defaultRowHeight="15"/>
  <cols>
    <col min="6" max="6" width="20.5703125" customWidth="1"/>
  </cols>
  <sheetData>
    <row r="2" spans="1:8" ht="19.5">
      <c r="A2" s="82" t="s">
        <v>25</v>
      </c>
      <c r="B2" s="83"/>
      <c r="C2" s="83"/>
      <c r="D2" s="83"/>
      <c r="E2" s="83"/>
      <c r="F2" s="83"/>
      <c r="G2" s="83"/>
      <c r="H2" s="84"/>
    </row>
    <row r="3" spans="1:8">
      <c r="A3" s="85"/>
      <c r="B3" s="86"/>
      <c r="C3" s="86"/>
      <c r="D3" s="86"/>
      <c r="E3" s="86"/>
      <c r="F3" s="87"/>
      <c r="G3" s="5" t="s">
        <v>21</v>
      </c>
      <c r="H3" s="5" t="s">
        <v>23</v>
      </c>
    </row>
    <row r="4" spans="1:8">
      <c r="A4" s="79" t="s">
        <v>22</v>
      </c>
      <c r="B4" s="80"/>
      <c r="C4" s="80"/>
      <c r="D4" s="80"/>
      <c r="E4" s="80"/>
      <c r="F4" s="81"/>
      <c r="G4" s="13">
        <v>232</v>
      </c>
      <c r="H4" s="68" t="s">
        <v>24</v>
      </c>
    </row>
    <row r="5" spans="1:8">
      <c r="A5" s="79" t="s">
        <v>30</v>
      </c>
      <c r="B5" s="80"/>
      <c r="C5" s="80"/>
      <c r="D5" s="80"/>
      <c r="E5" s="80"/>
      <c r="F5" s="81"/>
      <c r="G5" s="13">
        <v>8</v>
      </c>
      <c r="H5" s="68" t="s">
        <v>24</v>
      </c>
    </row>
    <row r="6" spans="1:8">
      <c r="A6" s="79" t="s">
        <v>102</v>
      </c>
      <c r="B6" s="80"/>
      <c r="C6" s="80"/>
      <c r="D6" s="80"/>
      <c r="E6" s="80"/>
      <c r="F6" s="81"/>
      <c r="G6" s="13">
        <v>5.0999999999999996</v>
      </c>
      <c r="H6" s="68" t="s">
        <v>50</v>
      </c>
    </row>
    <row r="7" spans="1:8">
      <c r="A7" s="79" t="s">
        <v>29</v>
      </c>
      <c r="B7" s="80"/>
      <c r="C7" s="80"/>
      <c r="D7" s="80"/>
      <c r="E7" s="80"/>
      <c r="F7" s="81"/>
      <c r="G7" s="30">
        <f>G5*G4+G6</f>
        <v>1861.1</v>
      </c>
      <c r="H7" s="68" t="s">
        <v>33</v>
      </c>
    </row>
    <row r="8" spans="1:8">
      <c r="A8" s="90" t="s">
        <v>48</v>
      </c>
      <c r="B8" s="91"/>
      <c r="C8" s="91"/>
      <c r="D8" s="91"/>
      <c r="E8" s="91"/>
      <c r="F8" s="92"/>
      <c r="G8" s="21">
        <f>G7*0.04*2.5</f>
        <v>186.11</v>
      </c>
      <c r="H8" s="68" t="s">
        <v>31</v>
      </c>
    </row>
    <row r="9" spans="1:8">
      <c r="A9" s="79" t="s">
        <v>103</v>
      </c>
      <c r="B9" s="80"/>
      <c r="C9" s="80"/>
      <c r="D9" s="80"/>
      <c r="E9" s="80"/>
      <c r="F9" s="81"/>
      <c r="G9" s="12">
        <v>5.75</v>
      </c>
      <c r="H9" s="68" t="s">
        <v>104</v>
      </c>
    </row>
    <row r="10" spans="1:8">
      <c r="A10" s="90" t="s">
        <v>105</v>
      </c>
      <c r="B10" s="91"/>
      <c r="C10" s="91"/>
      <c r="D10" s="91"/>
      <c r="E10" s="91"/>
      <c r="F10" s="92"/>
      <c r="G10" s="21">
        <f>G8*G9%</f>
        <v>10.701325000000001</v>
      </c>
      <c r="H10" s="68" t="s">
        <v>31</v>
      </c>
    </row>
    <row r="11" spans="1:8">
      <c r="A11" s="90" t="s">
        <v>26</v>
      </c>
      <c r="B11" s="91"/>
      <c r="C11" s="91"/>
      <c r="D11" s="91"/>
      <c r="E11" s="91"/>
      <c r="F11" s="92"/>
      <c r="G11" s="21">
        <v>470.58</v>
      </c>
      <c r="H11" s="68" t="s">
        <v>24</v>
      </c>
    </row>
    <row r="12" spans="1:8">
      <c r="A12" s="79" t="s">
        <v>106</v>
      </c>
      <c r="B12" s="80"/>
      <c r="C12" s="80"/>
      <c r="D12" s="80"/>
      <c r="E12" s="80"/>
      <c r="F12" s="81"/>
      <c r="G12" s="21">
        <f>G4*G13*0.1+G6</f>
        <v>194.18000000000004</v>
      </c>
      <c r="H12" s="68" t="s">
        <v>32</v>
      </c>
    </row>
    <row r="13" spans="1:8">
      <c r="A13" s="79" t="s">
        <v>107</v>
      </c>
      <c r="B13" s="88"/>
      <c r="C13" s="88"/>
      <c r="D13" s="88"/>
      <c r="E13" s="88"/>
      <c r="F13" s="89"/>
      <c r="G13" s="13">
        <v>8.15</v>
      </c>
      <c r="H13" s="14" t="s">
        <v>24</v>
      </c>
    </row>
    <row r="14" spans="1:8">
      <c r="A14" s="79" t="s">
        <v>108</v>
      </c>
      <c r="B14" s="80"/>
      <c r="C14" s="80"/>
      <c r="D14" s="80"/>
      <c r="E14" s="80"/>
      <c r="F14" s="81"/>
      <c r="G14" s="21">
        <f>G4*G15*0.13+G6</f>
        <v>261.46000000000004</v>
      </c>
      <c r="H14" s="68" t="s">
        <v>32</v>
      </c>
    </row>
    <row r="15" spans="1:8">
      <c r="A15" s="79" t="s">
        <v>109</v>
      </c>
      <c r="B15" s="88"/>
      <c r="C15" s="88"/>
      <c r="D15" s="88"/>
      <c r="E15" s="88"/>
      <c r="F15" s="89"/>
      <c r="G15" s="13">
        <v>8.5</v>
      </c>
      <c r="H15" s="14" t="s">
        <v>24</v>
      </c>
    </row>
    <row r="16" spans="1:8">
      <c r="A16" s="79" t="s">
        <v>27</v>
      </c>
      <c r="B16" s="80"/>
      <c r="C16" s="80"/>
      <c r="D16" s="80"/>
      <c r="E16" s="80"/>
      <c r="F16" s="81"/>
      <c r="G16" s="21">
        <f>G7</f>
        <v>1861.1</v>
      </c>
      <c r="H16" s="68" t="s">
        <v>33</v>
      </c>
    </row>
    <row r="17" spans="1:8">
      <c r="A17" s="79" t="s">
        <v>28</v>
      </c>
      <c r="B17" s="80"/>
      <c r="C17" s="80"/>
      <c r="D17" s="80"/>
      <c r="E17" s="80"/>
      <c r="F17" s="81"/>
      <c r="G17" s="21">
        <f>G7</f>
        <v>1861.1</v>
      </c>
      <c r="H17" s="68" t="s">
        <v>33</v>
      </c>
    </row>
    <row r="18" spans="1:8">
      <c r="A18" s="79" t="s">
        <v>110</v>
      </c>
      <c r="B18" s="88"/>
      <c r="C18" s="88"/>
      <c r="D18" s="88"/>
      <c r="E18" s="88"/>
      <c r="F18" s="89"/>
      <c r="G18" s="13">
        <v>8.69</v>
      </c>
      <c r="H18" s="14" t="s">
        <v>24</v>
      </c>
    </row>
    <row r="19" spans="1:8">
      <c r="A19" s="79" t="s">
        <v>34</v>
      </c>
      <c r="B19" s="88"/>
      <c r="C19" s="88"/>
      <c r="D19" s="88"/>
      <c r="E19" s="88"/>
      <c r="F19" s="89"/>
      <c r="G19" s="21">
        <f>G4*G18+G6</f>
        <v>2021.1799999999998</v>
      </c>
      <c r="H19" s="14" t="s">
        <v>33</v>
      </c>
    </row>
  </sheetData>
  <mergeCells count="18"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7:F7"/>
    <mergeCell ref="A2:H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20" sqref="E20"/>
    </sheetView>
  </sheetViews>
  <sheetFormatPr defaultRowHeight="15"/>
  <cols>
    <col min="2" max="3" width="5" customWidth="1"/>
    <col min="4" max="4" width="13" customWidth="1"/>
    <col min="5" max="5" width="8.28515625" bestFit="1" customWidth="1"/>
    <col min="6" max="6" width="6.140625" bestFit="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3" max="13" width="9.85546875" bestFit="1" customWidth="1"/>
  </cols>
  <sheetData>
    <row r="1" spans="1:14" ht="32.25">
      <c r="A1" s="93" t="s">
        <v>47</v>
      </c>
      <c r="B1" s="94"/>
      <c r="C1" s="94"/>
      <c r="D1" s="94"/>
      <c r="E1" s="94"/>
      <c r="F1" s="94"/>
      <c r="G1" s="38"/>
      <c r="H1" s="39" t="s">
        <v>76</v>
      </c>
      <c r="I1" s="39" t="s">
        <v>77</v>
      </c>
      <c r="J1" s="40" t="s">
        <v>78</v>
      </c>
      <c r="K1" s="41"/>
      <c r="L1" s="41"/>
      <c r="M1" s="41"/>
      <c r="N1" s="42"/>
    </row>
    <row r="2" spans="1:14">
      <c r="A2" s="95"/>
      <c r="B2" s="96"/>
      <c r="C2" s="96"/>
      <c r="D2" s="96"/>
      <c r="E2" s="43" t="s">
        <v>21</v>
      </c>
      <c r="F2" s="44" t="s">
        <v>79</v>
      </c>
      <c r="G2" s="45"/>
      <c r="H2" s="44">
        <v>30</v>
      </c>
      <c r="I2" s="44">
        <v>37</v>
      </c>
      <c r="J2" s="43">
        <f>(PI()*(((I2/2)/100)^2))</f>
        <v>0.10752100856911066</v>
      </c>
      <c r="K2" s="45"/>
      <c r="L2" s="45"/>
      <c r="M2" s="45"/>
      <c r="N2" s="46"/>
    </row>
    <row r="3" spans="1:14">
      <c r="A3" s="97"/>
      <c r="B3" s="98"/>
      <c r="C3" s="98"/>
      <c r="D3" s="98"/>
      <c r="E3" s="47"/>
      <c r="F3" s="44"/>
      <c r="G3" s="45"/>
      <c r="H3" s="44">
        <v>40</v>
      </c>
      <c r="I3" s="44">
        <v>48</v>
      </c>
      <c r="J3" s="43">
        <f t="shared" ref="J3:J8" si="0">(PI()*(((I3/2)/100)^2))</f>
        <v>0.18095573684677208</v>
      </c>
      <c r="K3" s="45"/>
      <c r="L3" s="45"/>
      <c r="M3" s="45"/>
      <c r="N3" s="46"/>
    </row>
    <row r="4" spans="1:14">
      <c r="A4" s="99" t="s">
        <v>35</v>
      </c>
      <c r="B4" s="100"/>
      <c r="C4" s="100"/>
      <c r="D4" s="100"/>
      <c r="E4" s="48">
        <v>12</v>
      </c>
      <c r="F4" s="49" t="s">
        <v>50</v>
      </c>
      <c r="G4" s="45"/>
      <c r="H4" s="44">
        <v>50</v>
      </c>
      <c r="I4" s="44">
        <v>60</v>
      </c>
      <c r="J4" s="43">
        <f t="shared" si="0"/>
        <v>0.28274333882308139</v>
      </c>
      <c r="K4" s="45"/>
      <c r="L4" s="45"/>
      <c r="M4" s="45"/>
      <c r="N4" s="46"/>
    </row>
    <row r="5" spans="1:14">
      <c r="A5" s="99" t="s">
        <v>36</v>
      </c>
      <c r="B5" s="100"/>
      <c r="C5" s="100"/>
      <c r="D5" s="100"/>
      <c r="E5" s="48">
        <v>6</v>
      </c>
      <c r="F5" s="49" t="s">
        <v>50</v>
      </c>
      <c r="G5" s="45"/>
      <c r="H5" s="44">
        <v>60</v>
      </c>
      <c r="I5" s="44">
        <v>71.099999999999994</v>
      </c>
      <c r="J5" s="43">
        <f t="shared" si="0"/>
        <v>0.39703526495884145</v>
      </c>
      <c r="K5" s="45"/>
      <c r="L5" s="45"/>
      <c r="M5" s="45"/>
      <c r="N5" s="46"/>
    </row>
    <row r="6" spans="1:14">
      <c r="A6" s="97"/>
      <c r="B6" s="98"/>
      <c r="C6" s="98"/>
      <c r="D6" s="98"/>
      <c r="E6" s="43"/>
      <c r="F6" s="44"/>
      <c r="G6" s="45"/>
      <c r="H6" s="44">
        <v>80</v>
      </c>
      <c r="I6" s="44">
        <v>93</v>
      </c>
      <c r="J6" s="43">
        <f t="shared" si="0"/>
        <v>0.67929087152245315</v>
      </c>
      <c r="K6" s="45"/>
      <c r="L6" s="45"/>
      <c r="M6" s="45"/>
      <c r="N6" s="46"/>
    </row>
    <row r="7" spans="1:14">
      <c r="A7" s="97"/>
      <c r="B7" s="98"/>
      <c r="C7" s="98"/>
      <c r="D7" s="98"/>
      <c r="E7" s="43"/>
      <c r="F7" s="44"/>
      <c r="G7" s="45"/>
      <c r="H7" s="44">
        <v>100</v>
      </c>
      <c r="I7" s="44">
        <v>120</v>
      </c>
      <c r="J7" s="43">
        <f t="shared" si="0"/>
        <v>1.1309733552923256</v>
      </c>
      <c r="K7" s="101"/>
      <c r="L7" s="101"/>
      <c r="M7" s="101"/>
      <c r="N7" s="102"/>
    </row>
    <row r="8" spans="1:14">
      <c r="A8" s="97"/>
      <c r="B8" s="98"/>
      <c r="C8" s="98"/>
      <c r="D8" s="98"/>
      <c r="E8" s="43"/>
      <c r="F8" s="44"/>
      <c r="G8" s="45"/>
      <c r="H8" s="44">
        <v>120</v>
      </c>
      <c r="I8" s="44">
        <v>144</v>
      </c>
      <c r="J8" s="43">
        <f t="shared" si="0"/>
        <v>1.6286016316209486</v>
      </c>
      <c r="K8" s="45"/>
      <c r="L8" s="45"/>
      <c r="M8" s="45"/>
      <c r="N8" s="46"/>
    </row>
    <row r="9" spans="1:14">
      <c r="A9" s="97" t="s">
        <v>80</v>
      </c>
      <c r="B9" s="98"/>
      <c r="C9" s="98"/>
      <c r="D9" s="98"/>
      <c r="E9" s="43" t="s">
        <v>21</v>
      </c>
      <c r="F9" s="44" t="s">
        <v>79</v>
      </c>
      <c r="G9" s="45"/>
      <c r="H9" s="50" t="s">
        <v>81</v>
      </c>
      <c r="I9" s="50" t="s">
        <v>82</v>
      </c>
      <c r="J9" s="47" t="s">
        <v>83</v>
      </c>
      <c r="K9" s="51" t="s">
        <v>84</v>
      </c>
      <c r="L9" s="51" t="s">
        <v>85</v>
      </c>
      <c r="M9" s="51" t="s">
        <v>86</v>
      </c>
      <c r="N9" s="46"/>
    </row>
    <row r="10" spans="1:14">
      <c r="A10" s="97" t="s">
        <v>87</v>
      </c>
      <c r="B10" s="98"/>
      <c r="C10" s="98"/>
      <c r="D10" s="98"/>
      <c r="E10" s="48">
        <v>72</v>
      </c>
      <c r="F10" s="52" t="s">
        <v>24</v>
      </c>
      <c r="G10" s="45"/>
      <c r="H10" s="47">
        <f>E10*L10</f>
        <v>79.2</v>
      </c>
      <c r="I10" s="47">
        <f>E10*M10</f>
        <v>71.458487383024035</v>
      </c>
      <c r="J10" s="43">
        <v>1</v>
      </c>
      <c r="K10" s="43">
        <v>1.1000000000000001</v>
      </c>
      <c r="L10" s="43">
        <f>J10*K10</f>
        <v>1.1000000000000001</v>
      </c>
      <c r="M10" s="43">
        <f>L10-J2</f>
        <v>0.99247899143088947</v>
      </c>
      <c r="N10" s="46"/>
    </row>
    <row r="11" spans="1:14">
      <c r="A11" s="97" t="s">
        <v>88</v>
      </c>
      <c r="B11" s="98"/>
      <c r="C11" s="98"/>
      <c r="D11" s="98"/>
      <c r="E11" s="48">
        <v>0</v>
      </c>
      <c r="F11" s="52" t="s">
        <v>24</v>
      </c>
      <c r="G11" s="45"/>
      <c r="H11" s="47">
        <f t="shared" ref="H11:H16" si="1">E11*L11</f>
        <v>0</v>
      </c>
      <c r="I11" s="47">
        <f t="shared" ref="I11:I16" si="2">E11*M11</f>
        <v>0</v>
      </c>
      <c r="J11" s="43">
        <v>1.1000000000000001</v>
      </c>
      <c r="K11" s="43">
        <v>1.2</v>
      </c>
      <c r="L11" s="43">
        <f t="shared" ref="L11:L16" si="3">J11*K11</f>
        <v>1.32</v>
      </c>
      <c r="M11" s="43">
        <f t="shared" ref="M11:M16" si="4">L11-J3</f>
        <v>1.139044263153228</v>
      </c>
      <c r="N11" s="46"/>
    </row>
    <row r="12" spans="1:14">
      <c r="A12" s="97" t="s">
        <v>89</v>
      </c>
      <c r="B12" s="98"/>
      <c r="C12" s="98"/>
      <c r="D12" s="98"/>
      <c r="E12" s="48">
        <v>0</v>
      </c>
      <c r="F12" s="52" t="s">
        <v>24</v>
      </c>
      <c r="G12" s="45"/>
      <c r="H12" s="47">
        <f t="shared" si="1"/>
        <v>0</v>
      </c>
      <c r="I12" s="47">
        <f t="shared" si="2"/>
        <v>0</v>
      </c>
      <c r="J12" s="43">
        <v>1.4</v>
      </c>
      <c r="K12" s="43">
        <v>1.3</v>
      </c>
      <c r="L12" s="43">
        <f t="shared" si="3"/>
        <v>1.8199999999999998</v>
      </c>
      <c r="M12" s="43">
        <f t="shared" si="4"/>
        <v>1.5372566611769185</v>
      </c>
      <c r="N12" s="46"/>
    </row>
    <row r="13" spans="1:14">
      <c r="A13" s="97" t="s">
        <v>90</v>
      </c>
      <c r="B13" s="98"/>
      <c r="C13" s="98"/>
      <c r="D13" s="98"/>
      <c r="E13" s="48">
        <v>0</v>
      </c>
      <c r="F13" s="52" t="s">
        <v>24</v>
      </c>
      <c r="G13" s="45"/>
      <c r="H13" s="47">
        <f t="shared" si="1"/>
        <v>0</v>
      </c>
      <c r="I13" s="47">
        <f t="shared" si="2"/>
        <v>0</v>
      </c>
      <c r="J13" s="43">
        <v>1.5</v>
      </c>
      <c r="K13" s="43">
        <v>1.4</v>
      </c>
      <c r="L13" s="43">
        <f t="shared" si="3"/>
        <v>2.0999999999999996</v>
      </c>
      <c r="M13" s="43">
        <f t="shared" si="4"/>
        <v>1.7029647350411583</v>
      </c>
      <c r="N13" s="46"/>
    </row>
    <row r="14" spans="1:14">
      <c r="A14" s="97" t="s">
        <v>91</v>
      </c>
      <c r="B14" s="98"/>
      <c r="C14" s="98"/>
      <c r="D14" s="98"/>
      <c r="E14" s="48">
        <v>0</v>
      </c>
      <c r="F14" s="52" t="s">
        <v>24</v>
      </c>
      <c r="G14" s="45"/>
      <c r="H14" s="47">
        <f t="shared" si="1"/>
        <v>0</v>
      </c>
      <c r="I14" s="47">
        <f t="shared" si="2"/>
        <v>0</v>
      </c>
      <c r="J14" s="43">
        <v>1.8</v>
      </c>
      <c r="K14" s="43">
        <v>1.6</v>
      </c>
      <c r="L14" s="43">
        <f t="shared" si="3"/>
        <v>2.8800000000000003</v>
      </c>
      <c r="M14" s="43">
        <f t="shared" si="4"/>
        <v>2.2007091284775471</v>
      </c>
      <c r="N14" s="46"/>
    </row>
    <row r="15" spans="1:14">
      <c r="A15" s="97" t="s">
        <v>92</v>
      </c>
      <c r="B15" s="98"/>
      <c r="C15" s="98"/>
      <c r="D15" s="98"/>
      <c r="E15" s="48">
        <v>0</v>
      </c>
      <c r="F15" s="52" t="s">
        <v>24</v>
      </c>
      <c r="G15" s="45"/>
      <c r="H15" s="47">
        <f t="shared" si="1"/>
        <v>0</v>
      </c>
      <c r="I15" s="47">
        <f t="shared" si="2"/>
        <v>0</v>
      </c>
      <c r="J15" s="43">
        <v>2.1</v>
      </c>
      <c r="K15" s="43">
        <v>1.9</v>
      </c>
      <c r="L15" s="43">
        <f t="shared" si="3"/>
        <v>3.9899999999999998</v>
      </c>
      <c r="M15" s="43">
        <f t="shared" si="4"/>
        <v>2.859026644707674</v>
      </c>
      <c r="N15" s="46"/>
    </row>
    <row r="16" spans="1:14">
      <c r="A16" s="97" t="s">
        <v>93</v>
      </c>
      <c r="B16" s="98"/>
      <c r="C16" s="98"/>
      <c r="D16" s="98"/>
      <c r="E16" s="48">
        <v>0</v>
      </c>
      <c r="F16" s="52" t="s">
        <v>24</v>
      </c>
      <c r="G16" s="45"/>
      <c r="H16" s="47">
        <f t="shared" si="1"/>
        <v>0</v>
      </c>
      <c r="I16" s="47">
        <f t="shared" si="2"/>
        <v>0</v>
      </c>
      <c r="J16" s="43">
        <v>2.2999999999999998</v>
      </c>
      <c r="K16" s="43">
        <v>2.1</v>
      </c>
      <c r="L16" s="43">
        <f t="shared" si="3"/>
        <v>4.83</v>
      </c>
      <c r="M16" s="43">
        <f t="shared" si="4"/>
        <v>3.2013983683790515</v>
      </c>
      <c r="N16" s="46"/>
    </row>
    <row r="17" spans="1:14">
      <c r="A17" s="53"/>
      <c r="B17" s="45"/>
      <c r="C17" s="45"/>
      <c r="D17" s="45"/>
      <c r="E17" s="54"/>
      <c r="F17" s="55"/>
      <c r="G17" s="45"/>
      <c r="H17" s="56"/>
      <c r="I17" s="56"/>
      <c r="J17" s="54"/>
      <c r="K17" s="57" t="s">
        <v>94</v>
      </c>
      <c r="L17" s="57">
        <v>1.2</v>
      </c>
      <c r="M17" s="45"/>
      <c r="N17" s="46"/>
    </row>
    <row r="18" spans="1:14">
      <c r="A18" s="53"/>
      <c r="B18" s="45"/>
      <c r="C18" s="45"/>
      <c r="D18" s="45"/>
      <c r="E18" s="54"/>
      <c r="F18" s="55"/>
      <c r="G18" s="45"/>
      <c r="H18" s="56"/>
      <c r="I18" s="56"/>
      <c r="J18" s="54"/>
      <c r="K18" s="57" t="s">
        <v>95</v>
      </c>
      <c r="L18" s="57">
        <v>1.2</v>
      </c>
      <c r="M18" s="45"/>
      <c r="N18" s="46"/>
    </row>
    <row r="19" spans="1:14" ht="30">
      <c r="A19" s="53"/>
      <c r="B19" s="45"/>
      <c r="C19" s="45"/>
      <c r="D19" s="58" t="s">
        <v>96</v>
      </c>
      <c r="E19" s="48">
        <f>SUM(E10:E17)</f>
        <v>72</v>
      </c>
      <c r="F19" s="59" t="s">
        <v>24</v>
      </c>
      <c r="G19" s="60" t="s">
        <v>97</v>
      </c>
      <c r="H19" s="48">
        <f>SUM(H10:H16)+(L17*E5)+(L18*E4)</f>
        <v>100.80000000000001</v>
      </c>
      <c r="I19" s="48">
        <f>SUM(I10:I16)</f>
        <v>71.458487383024035</v>
      </c>
      <c r="J19" s="61"/>
      <c r="K19" s="45"/>
      <c r="L19" s="45"/>
      <c r="M19" s="45"/>
      <c r="N19" s="46"/>
    </row>
    <row r="20" spans="1:14" ht="45.75" thickBot="1">
      <c r="A20" s="62"/>
      <c r="B20" s="63"/>
      <c r="C20" s="63"/>
      <c r="D20" s="64" t="s">
        <v>98</v>
      </c>
      <c r="E20" s="65">
        <f>(E19-E10)*0.5*0.1</f>
        <v>0</v>
      </c>
      <c r="F20" s="66" t="s">
        <v>32</v>
      </c>
      <c r="G20" s="63"/>
      <c r="H20" s="63"/>
      <c r="I20" s="63"/>
      <c r="J20" s="63"/>
      <c r="K20" s="63"/>
      <c r="L20" s="63"/>
      <c r="M20" s="63"/>
      <c r="N20" s="67"/>
    </row>
  </sheetData>
  <mergeCells count="17">
    <mergeCell ref="A16:D16"/>
    <mergeCell ref="K7:N7"/>
    <mergeCell ref="A8:D8"/>
    <mergeCell ref="A9:D9"/>
    <mergeCell ref="A10:D10"/>
    <mergeCell ref="A11:D11"/>
    <mergeCell ref="A12:D12"/>
    <mergeCell ref="A6:D6"/>
    <mergeCell ref="A7:D7"/>
    <mergeCell ref="A13:D13"/>
    <mergeCell ref="A14:D14"/>
    <mergeCell ref="A15:D15"/>
    <mergeCell ref="A1:F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7" sqref="A7:F7"/>
    </sheetView>
  </sheetViews>
  <sheetFormatPr defaultRowHeight="15"/>
  <sheetData>
    <row r="1" spans="1:8" ht="19.5">
      <c r="A1" s="105" t="s">
        <v>75</v>
      </c>
      <c r="B1" s="105"/>
      <c r="C1" s="105"/>
      <c r="D1" s="105"/>
      <c r="E1" s="105"/>
      <c r="F1" s="105"/>
      <c r="G1" s="105"/>
      <c r="H1" s="105"/>
    </row>
    <row r="2" spans="1:8">
      <c r="A2" s="85"/>
      <c r="B2" s="86"/>
      <c r="C2" s="86"/>
      <c r="D2" s="86"/>
      <c r="E2" s="86"/>
      <c r="F2" s="87"/>
      <c r="G2" s="5" t="s">
        <v>21</v>
      </c>
      <c r="H2" s="5" t="s">
        <v>23</v>
      </c>
    </row>
    <row r="3" spans="1:8">
      <c r="A3" s="79" t="s">
        <v>37</v>
      </c>
      <c r="B3" s="80"/>
      <c r="C3" s="80"/>
      <c r="D3" s="80"/>
      <c r="E3" s="80"/>
      <c r="F3" s="81"/>
      <c r="G3" s="13">
        <f>PISOS!J7</f>
        <v>867.54639999999995</v>
      </c>
      <c r="H3" s="11" t="s">
        <v>33</v>
      </c>
    </row>
    <row r="4" spans="1:8">
      <c r="A4" s="79" t="s">
        <v>38</v>
      </c>
      <c r="B4" s="80"/>
      <c r="C4" s="80"/>
      <c r="D4" s="80"/>
      <c r="E4" s="80"/>
      <c r="F4" s="81"/>
      <c r="G4" s="13">
        <f>PISOS!O7</f>
        <v>22.591999999999999</v>
      </c>
      <c r="H4" s="11" t="s">
        <v>33</v>
      </c>
    </row>
    <row r="5" spans="1:8">
      <c r="A5" s="79" t="s">
        <v>39</v>
      </c>
      <c r="B5" s="80"/>
      <c r="C5" s="80"/>
      <c r="D5" s="80"/>
      <c r="E5" s="80"/>
      <c r="F5" s="81"/>
      <c r="G5" s="13">
        <f>PISOS!Q7</f>
        <v>164.8</v>
      </c>
      <c r="H5" s="11" t="s">
        <v>33</v>
      </c>
    </row>
    <row r="6" spans="1:8">
      <c r="A6" s="79" t="s">
        <v>115</v>
      </c>
      <c r="B6" s="80"/>
      <c r="C6" s="80"/>
      <c r="D6" s="80"/>
      <c r="E6" s="80"/>
      <c r="F6" s="81"/>
      <c r="G6" s="13">
        <f>PISOS!R7</f>
        <v>187.392</v>
      </c>
      <c r="H6" s="69" t="s">
        <v>33</v>
      </c>
    </row>
    <row r="7" spans="1:8">
      <c r="A7" s="79" t="s">
        <v>40</v>
      </c>
      <c r="B7" s="80"/>
      <c r="C7" s="80"/>
      <c r="D7" s="80"/>
      <c r="E7" s="80"/>
      <c r="F7" s="81"/>
      <c r="G7" s="13">
        <f>PISOS!T7</f>
        <v>680.1543999999999</v>
      </c>
      <c r="H7" s="11" t="s">
        <v>33</v>
      </c>
    </row>
    <row r="8" spans="1:8">
      <c r="A8" s="103" t="s">
        <v>99</v>
      </c>
      <c r="B8" s="103"/>
      <c r="C8" s="103"/>
      <c r="D8" s="103"/>
      <c r="E8" s="103"/>
      <c r="F8" s="103"/>
      <c r="G8" s="12">
        <f>G3*0.04</f>
        <v>34.701855999999999</v>
      </c>
      <c r="H8" s="11" t="s">
        <v>32</v>
      </c>
    </row>
    <row r="9" spans="1:8">
      <c r="A9" s="104" t="s">
        <v>100</v>
      </c>
      <c r="B9" s="104"/>
      <c r="C9" s="104"/>
      <c r="D9" s="104"/>
      <c r="E9" s="104"/>
      <c r="F9" s="104"/>
      <c r="G9" s="12">
        <f>G3*0.04</f>
        <v>34.701855999999999</v>
      </c>
      <c r="H9" s="11" t="s">
        <v>32</v>
      </c>
    </row>
    <row r="10" spans="1:8">
      <c r="A10" s="104" t="s">
        <v>101</v>
      </c>
      <c r="B10" s="104"/>
      <c r="C10" s="104"/>
      <c r="D10" s="104"/>
      <c r="E10" s="104"/>
      <c r="F10" s="104"/>
      <c r="G10" s="12">
        <f>G3</f>
        <v>867.54639999999995</v>
      </c>
      <c r="H10" s="11" t="s">
        <v>33</v>
      </c>
    </row>
  </sheetData>
  <mergeCells count="10">
    <mergeCell ref="A8:F8"/>
    <mergeCell ref="A9:F9"/>
    <mergeCell ref="A10:F10"/>
    <mergeCell ref="A1:H1"/>
    <mergeCell ref="A2:F2"/>
    <mergeCell ref="A3:F3"/>
    <mergeCell ref="A4:F4"/>
    <mergeCell ref="A5:F5"/>
    <mergeCell ref="A7:F7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6"/>
  <dimension ref="A1:H19"/>
  <sheetViews>
    <sheetView tabSelected="1" workbookViewId="0">
      <selection activeCell="E23" sqref="E23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105" t="s">
        <v>41</v>
      </c>
      <c r="B1" s="105"/>
      <c r="C1" s="105"/>
      <c r="D1" s="105"/>
      <c r="E1" s="105"/>
      <c r="F1" s="105"/>
      <c r="G1" s="105"/>
      <c r="H1" s="105"/>
    </row>
    <row r="2" spans="1:8">
      <c r="A2" s="109"/>
      <c r="B2" s="109"/>
      <c r="C2" s="109"/>
      <c r="D2" s="109"/>
      <c r="E2" s="109"/>
      <c r="F2" s="109"/>
      <c r="G2" s="12" t="s">
        <v>21</v>
      </c>
      <c r="H2" s="68" t="s">
        <v>23</v>
      </c>
    </row>
    <row r="3" spans="1:8">
      <c r="A3" s="79" t="s">
        <v>53</v>
      </c>
      <c r="B3" s="80"/>
      <c r="C3" s="80"/>
      <c r="D3" s="80"/>
      <c r="E3" s="80"/>
      <c r="F3" s="81"/>
      <c r="G3" s="13">
        <v>151.13</v>
      </c>
      <c r="H3" s="20" t="s">
        <v>24</v>
      </c>
    </row>
    <row r="4" spans="1:8">
      <c r="A4" s="79" t="s">
        <v>54</v>
      </c>
      <c r="B4" s="80"/>
      <c r="C4" s="80"/>
      <c r="D4" s="80"/>
      <c r="E4" s="80"/>
      <c r="F4" s="81"/>
      <c r="G4" s="13">
        <v>4</v>
      </c>
      <c r="H4" s="68" t="s">
        <v>50</v>
      </c>
    </row>
    <row r="5" spans="1:8">
      <c r="A5" s="79" t="s">
        <v>65</v>
      </c>
      <c r="B5" s="80"/>
      <c r="C5" s="80"/>
      <c r="D5" s="80"/>
      <c r="E5" s="80"/>
      <c r="F5" s="81"/>
      <c r="G5" s="13">
        <v>0</v>
      </c>
      <c r="H5" s="68" t="s">
        <v>33</v>
      </c>
    </row>
    <row r="6" spans="1:8">
      <c r="A6" s="110" t="s">
        <v>55</v>
      </c>
      <c r="B6" s="110"/>
      <c r="C6" s="110"/>
      <c r="D6" s="110"/>
      <c r="E6" s="110"/>
      <c r="F6" s="110"/>
      <c r="G6" s="70">
        <f>((G3/3+G4*15)*G7)+G5</f>
        <v>11.037666666666667</v>
      </c>
      <c r="H6" s="71" t="s">
        <v>33</v>
      </c>
    </row>
    <row r="7" spans="1:8">
      <c r="A7" s="104" t="s">
        <v>52</v>
      </c>
      <c r="B7" s="104"/>
      <c r="C7" s="104"/>
      <c r="D7" s="104"/>
      <c r="E7" s="104"/>
      <c r="F7" s="104"/>
      <c r="G7" s="13">
        <v>0.1</v>
      </c>
      <c r="H7" s="68" t="s">
        <v>24</v>
      </c>
    </row>
    <row r="8" spans="1:8">
      <c r="A8" s="104" t="s">
        <v>111</v>
      </c>
      <c r="B8" s="104"/>
      <c r="C8" s="104"/>
      <c r="D8" s="104"/>
      <c r="E8" s="104"/>
      <c r="F8" s="104"/>
      <c r="G8" s="13">
        <v>2</v>
      </c>
      <c r="H8" s="68" t="s">
        <v>49</v>
      </c>
    </row>
    <row r="9" spans="1:8">
      <c r="A9" s="79" t="s">
        <v>66</v>
      </c>
      <c r="B9" s="80"/>
      <c r="C9" s="80"/>
      <c r="D9" s="80"/>
      <c r="E9" s="80"/>
      <c r="F9" s="81"/>
      <c r="G9" s="13">
        <v>0</v>
      </c>
      <c r="H9" s="68" t="s">
        <v>33</v>
      </c>
    </row>
    <row r="10" spans="1:8">
      <c r="A10" s="104" t="s">
        <v>42</v>
      </c>
      <c r="B10" s="104"/>
      <c r="C10" s="104"/>
      <c r="D10" s="104"/>
      <c r="E10" s="104"/>
      <c r="F10" s="104"/>
      <c r="G10" s="18">
        <f>(9.6*G8)+G9</f>
        <v>19.2</v>
      </c>
      <c r="H10" s="68" t="s">
        <v>33</v>
      </c>
    </row>
    <row r="11" spans="1:8">
      <c r="A11" s="79" t="s">
        <v>112</v>
      </c>
      <c r="B11" s="80"/>
      <c r="C11" s="80"/>
      <c r="D11" s="80"/>
      <c r="E11" s="80"/>
      <c r="F11" s="81"/>
      <c r="G11" s="13">
        <v>4</v>
      </c>
      <c r="H11" s="68" t="s">
        <v>50</v>
      </c>
    </row>
    <row r="12" spans="1:8">
      <c r="A12" s="106" t="s">
        <v>62</v>
      </c>
      <c r="B12" s="107"/>
      <c r="C12" s="107"/>
      <c r="D12" s="107"/>
      <c r="E12" s="107"/>
      <c r="F12" s="108"/>
      <c r="G12" s="70">
        <f>G11*2</f>
        <v>8</v>
      </c>
      <c r="H12" s="71" t="s">
        <v>33</v>
      </c>
    </row>
    <row r="13" spans="1:8">
      <c r="A13" s="106" t="s">
        <v>113</v>
      </c>
      <c r="B13" s="107"/>
      <c r="C13" s="107"/>
      <c r="D13" s="107"/>
      <c r="E13" s="107"/>
      <c r="F13" s="108"/>
      <c r="G13" s="72">
        <v>0</v>
      </c>
      <c r="H13" s="32" t="s">
        <v>33</v>
      </c>
    </row>
    <row r="14" spans="1:8">
      <c r="A14" s="106" t="s">
        <v>63</v>
      </c>
      <c r="B14" s="107"/>
      <c r="C14" s="107"/>
      <c r="D14" s="107"/>
      <c r="E14" s="107"/>
      <c r="F14" s="108"/>
      <c r="G14" s="70">
        <f>SUM(G10,G12,G13)</f>
        <v>27.2</v>
      </c>
      <c r="H14" s="71" t="s">
        <v>33</v>
      </c>
    </row>
    <row r="15" spans="1:8">
      <c r="A15" s="90" t="s">
        <v>114</v>
      </c>
      <c r="B15" s="91"/>
      <c r="C15" s="91"/>
      <c r="D15" s="91"/>
      <c r="E15" s="91"/>
      <c r="F15" s="92"/>
      <c r="G15" s="21">
        <f>G14+G6</f>
        <v>38.237666666666669</v>
      </c>
      <c r="H15" s="32" t="s">
        <v>33</v>
      </c>
    </row>
    <row r="16" spans="1:8">
      <c r="A16" s="104" t="s">
        <v>43</v>
      </c>
      <c r="B16" s="104"/>
      <c r="C16" s="104"/>
      <c r="D16" s="104"/>
      <c r="E16" s="104"/>
      <c r="F16" s="104"/>
      <c r="G16" s="13">
        <v>4</v>
      </c>
      <c r="H16" s="68" t="s">
        <v>50</v>
      </c>
    </row>
    <row r="17" spans="1:8">
      <c r="A17" s="104" t="s">
        <v>44</v>
      </c>
      <c r="B17" s="104"/>
      <c r="C17" s="104"/>
      <c r="D17" s="104"/>
      <c r="E17" s="104"/>
      <c r="F17" s="104"/>
      <c r="G17" s="13">
        <v>4</v>
      </c>
      <c r="H17" s="68" t="s">
        <v>50</v>
      </c>
    </row>
    <row r="18" spans="1:8">
      <c r="A18" s="110" t="s">
        <v>45</v>
      </c>
      <c r="B18" s="110"/>
      <c r="C18" s="110"/>
      <c r="D18" s="110"/>
      <c r="E18" s="110"/>
      <c r="F18" s="110"/>
      <c r="G18" s="13">
        <v>1</v>
      </c>
      <c r="H18" s="68" t="s">
        <v>50</v>
      </c>
    </row>
    <row r="19" spans="1:8">
      <c r="A19" s="104" t="s">
        <v>46</v>
      </c>
      <c r="B19" s="104"/>
      <c r="C19" s="104"/>
      <c r="D19" s="104"/>
      <c r="E19" s="104"/>
      <c r="F19" s="104"/>
      <c r="G19" s="13">
        <v>2</v>
      </c>
      <c r="H19" s="68" t="s">
        <v>49</v>
      </c>
    </row>
  </sheetData>
  <mergeCells count="19">
    <mergeCell ref="A19:F19"/>
    <mergeCell ref="A13:F13"/>
    <mergeCell ref="A14:F14"/>
    <mergeCell ref="A15:F15"/>
    <mergeCell ref="A16:F16"/>
    <mergeCell ref="A17:F17"/>
    <mergeCell ref="A18:F18"/>
    <mergeCell ref="A12:F12"/>
    <mergeCell ref="A1:H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B14" sqref="B14"/>
    </sheetView>
  </sheetViews>
  <sheetFormatPr defaultRowHeight="15"/>
  <cols>
    <col min="1" max="1" width="9" customWidth="1"/>
    <col min="2" max="2" width="10.42578125" customWidth="1"/>
    <col min="3" max="3" width="11" customWidth="1"/>
    <col min="4" max="4" width="12.42578125" bestFit="1" customWidth="1"/>
    <col min="5" max="5" width="10.85546875" customWidth="1"/>
    <col min="6" max="6" width="10.5703125" customWidth="1"/>
    <col min="7" max="7" width="9.140625" style="37"/>
  </cols>
  <sheetData>
    <row r="1" spans="1:18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5"/>
    </row>
    <row r="2" spans="1:18" ht="120">
      <c r="A2" s="2" t="s">
        <v>1</v>
      </c>
      <c r="B2" s="3" t="s">
        <v>71</v>
      </c>
      <c r="C2" s="3" t="s">
        <v>69</v>
      </c>
      <c r="D2" s="4" t="s">
        <v>70</v>
      </c>
      <c r="E2" s="4" t="s">
        <v>72</v>
      </c>
      <c r="F2" s="15" t="s">
        <v>51</v>
      </c>
      <c r="G2" s="35" t="s">
        <v>64</v>
      </c>
      <c r="H2" s="4" t="s">
        <v>68</v>
      </c>
      <c r="I2" s="17" t="s">
        <v>56</v>
      </c>
      <c r="J2" s="17" t="s">
        <v>61</v>
      </c>
      <c r="K2" s="17" t="s">
        <v>57</v>
      </c>
      <c r="L2" s="4" t="s">
        <v>58</v>
      </c>
      <c r="M2" s="4" t="s">
        <v>11</v>
      </c>
      <c r="N2" s="4" t="s">
        <v>59</v>
      </c>
      <c r="O2" s="4" t="s">
        <v>12</v>
      </c>
      <c r="P2" s="4" t="s">
        <v>13</v>
      </c>
      <c r="Q2" s="4" t="s">
        <v>60</v>
      </c>
      <c r="R2" s="4" t="s">
        <v>14</v>
      </c>
    </row>
    <row r="3" spans="1:18">
      <c r="A3" s="22" t="s">
        <v>3</v>
      </c>
      <c r="B3" s="23">
        <v>235.53</v>
      </c>
      <c r="C3" s="23">
        <f>'MEIO FIO'!B3*0.12</f>
        <v>0</v>
      </c>
      <c r="D3" s="24">
        <v>4</v>
      </c>
      <c r="E3" s="23">
        <v>474.2</v>
      </c>
      <c r="F3" s="25">
        <v>1</v>
      </c>
      <c r="G3" s="36">
        <f>0.57*F3</f>
        <v>0.56999999999999995</v>
      </c>
      <c r="H3" s="31">
        <f>E3-C3</f>
        <v>474.2</v>
      </c>
      <c r="I3" s="13">
        <v>2</v>
      </c>
      <c r="J3" s="13">
        <v>1</v>
      </c>
      <c r="K3" s="13">
        <v>6</v>
      </c>
      <c r="L3" s="13">
        <v>0</v>
      </c>
      <c r="M3" s="31">
        <f>((((2*(D3-I3*0.12)+1.2))+(J3*0.4+K3*1.56)*0.4)+L3)</f>
        <v>12.623999999999999</v>
      </c>
      <c r="N3" s="23">
        <v>0</v>
      </c>
      <c r="O3" s="31">
        <f>((B3-5.6*I3)*0.4)+N3+0.8*F3</f>
        <v>90.532000000000011</v>
      </c>
      <c r="P3" s="31">
        <f>SUM(M3,O3)</f>
        <v>103.15600000000001</v>
      </c>
      <c r="Q3" s="23">
        <v>0</v>
      </c>
      <c r="R3" s="29">
        <f>H3-P3+Q3</f>
        <v>371.04399999999998</v>
      </c>
    </row>
    <row r="4" spans="1:18">
      <c r="A4" s="22" t="s">
        <v>4</v>
      </c>
      <c r="B4" s="23">
        <v>59.74</v>
      </c>
      <c r="C4" s="23">
        <f>'MEIO FIO'!B4*0.12</f>
        <v>0</v>
      </c>
      <c r="D4" s="24">
        <v>4.12</v>
      </c>
      <c r="E4" s="23">
        <v>136.88</v>
      </c>
      <c r="F4" s="25">
        <v>3</v>
      </c>
      <c r="G4" s="36">
        <f t="shared" ref="G4:G6" si="0">0.57*F4</f>
        <v>1.71</v>
      </c>
      <c r="H4" s="31">
        <f t="shared" ref="H4:H6" si="1">E4-G4</f>
        <v>135.16999999999999</v>
      </c>
      <c r="I4" s="13">
        <v>2</v>
      </c>
      <c r="J4" s="13">
        <v>3</v>
      </c>
      <c r="K4" s="13">
        <v>1</v>
      </c>
      <c r="L4" s="13">
        <v>0</v>
      </c>
      <c r="M4" s="31">
        <f t="shared" ref="M4:M6" si="2">((((2*(D4-I4*0.12)+1.2))+(J4*0.4+K4*1.56)*0.4)+L4)</f>
        <v>10.064</v>
      </c>
      <c r="N4" s="23">
        <v>0</v>
      </c>
      <c r="O4" s="31">
        <f>((B4-5.6*I4)*0.4)+N4+0.8*F4</f>
        <v>21.816000000000003</v>
      </c>
      <c r="P4" s="31">
        <f t="shared" ref="P4:P6" si="3">SUM(M4,O4)</f>
        <v>31.880000000000003</v>
      </c>
      <c r="Q4" s="23">
        <v>0</v>
      </c>
      <c r="R4" s="29">
        <f t="shared" ref="R4:R6" si="4">H4-P4+Q4</f>
        <v>103.28999999999999</v>
      </c>
    </row>
    <row r="5" spans="1:18">
      <c r="A5" s="22" t="s">
        <v>5</v>
      </c>
      <c r="B5" s="23">
        <v>203.37</v>
      </c>
      <c r="C5" s="23">
        <f>'MEIO FIO'!B5*0.12</f>
        <v>0</v>
      </c>
      <c r="D5" s="24">
        <v>3.55</v>
      </c>
      <c r="E5" s="23">
        <v>358.52</v>
      </c>
      <c r="F5" s="25">
        <v>3</v>
      </c>
      <c r="G5" s="36">
        <f t="shared" si="0"/>
        <v>1.71</v>
      </c>
      <c r="H5" s="31">
        <f t="shared" si="1"/>
        <v>356.81</v>
      </c>
      <c r="I5" s="13">
        <v>2</v>
      </c>
      <c r="J5" s="13">
        <v>4</v>
      </c>
      <c r="K5" s="13">
        <v>0</v>
      </c>
      <c r="L5" s="13">
        <v>0</v>
      </c>
      <c r="M5" s="31">
        <f t="shared" si="2"/>
        <v>8.4599999999999991</v>
      </c>
      <c r="N5" s="23">
        <v>1.5</v>
      </c>
      <c r="O5" s="31">
        <f>((B5-5.6*I5)*0.4)+N5+0.8*F5</f>
        <v>80.768000000000015</v>
      </c>
      <c r="P5" s="31">
        <f t="shared" si="3"/>
        <v>89.228000000000009</v>
      </c>
      <c r="Q5" s="23">
        <v>0</v>
      </c>
      <c r="R5" s="29">
        <f t="shared" si="4"/>
        <v>267.58199999999999</v>
      </c>
    </row>
    <row r="6" spans="1:18">
      <c r="A6" s="22" t="s">
        <v>6</v>
      </c>
      <c r="B6" s="23">
        <v>74.28</v>
      </c>
      <c r="C6" s="23">
        <f>'MEIO FIO'!B6*0.12</f>
        <v>0</v>
      </c>
      <c r="D6" s="24">
        <v>4</v>
      </c>
      <c r="E6" s="23">
        <v>138.72999999999999</v>
      </c>
      <c r="F6" s="25">
        <v>3</v>
      </c>
      <c r="G6" s="36">
        <f t="shared" si="0"/>
        <v>1.71</v>
      </c>
      <c r="H6" s="31">
        <f t="shared" si="1"/>
        <v>137.01999999999998</v>
      </c>
      <c r="I6" s="13">
        <v>2</v>
      </c>
      <c r="J6" s="13">
        <v>3</v>
      </c>
      <c r="K6" s="13">
        <v>0</v>
      </c>
      <c r="L6" s="13">
        <v>0</v>
      </c>
      <c r="M6" s="31">
        <f t="shared" si="2"/>
        <v>9.1999999999999993</v>
      </c>
      <c r="N6" s="23">
        <v>0</v>
      </c>
      <c r="O6" s="31">
        <f>((B6-5.6*I6)*0.4)+N6+0.8*F6</f>
        <v>27.631999999999998</v>
      </c>
      <c r="P6" s="31">
        <f t="shared" si="3"/>
        <v>36.831999999999994</v>
      </c>
      <c r="Q6" s="23">
        <v>0</v>
      </c>
      <c r="R6" s="29">
        <f t="shared" si="4"/>
        <v>100.18799999999999</v>
      </c>
    </row>
    <row r="7" spans="1:18">
      <c r="A7" s="28"/>
      <c r="B7" s="28"/>
      <c r="C7" s="28"/>
      <c r="D7" s="28"/>
      <c r="E7" s="23">
        <f t="shared" ref="E7:G7" si="5">SUM(E3:E6)</f>
        <v>1108.33</v>
      </c>
      <c r="F7" s="27"/>
      <c r="G7" s="36">
        <f t="shared" si="5"/>
        <v>5.6999999999999993</v>
      </c>
      <c r="H7" s="29">
        <f>SUM(H3:H6)</f>
        <v>1103.2</v>
      </c>
      <c r="I7" s="30"/>
      <c r="J7" s="30"/>
      <c r="K7" s="30"/>
      <c r="L7" s="30"/>
      <c r="M7" s="29">
        <f t="shared" ref="M7:P7" si="6">SUM(M3:M6)</f>
        <v>40.347999999999999</v>
      </c>
      <c r="N7" s="29"/>
      <c r="O7" s="29">
        <f t="shared" si="6"/>
        <v>220.74800000000005</v>
      </c>
      <c r="P7" s="29">
        <f t="shared" si="6"/>
        <v>261.096</v>
      </c>
      <c r="Q7" s="31"/>
      <c r="R7" s="29">
        <f>H7-P7</f>
        <v>842.10400000000004</v>
      </c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</vt:lpstr>
      <vt:lpstr>PISO TÁTIL CÁLCULO POR ÁREAS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2018-09-06T20:26:13Z</dcterms:modified>
</cp:coreProperties>
</file>