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ISOS" sheetId="1" r:id="rId1"/>
    <sheet name="MEIO FIO" sheetId="2" r:id="rId2"/>
    <sheet name="PAVIMENTAÇÃO" sheetId="3" r:id="rId3"/>
    <sheet name="DRENAGEM" sheetId="4" r:id="rId4"/>
    <sheet name="CALÇADA" sheetId="5" r:id="rId5"/>
    <sheet name="SINALIZAÇÃO" sheetId="6" r:id="rId6"/>
    <sheet name="PISO TÁTIL CÁLCULO POR ÁREAS" sheetId="7" r:id="rId7"/>
  </sheets>
  <calcPr calcId="124519"/>
</workbook>
</file>

<file path=xl/calcChain.xml><?xml version="1.0" encoding="utf-8"?>
<calcChain xmlns="http://schemas.openxmlformats.org/spreadsheetml/2006/main">
  <c r="E20" i="4"/>
  <c r="G5" i="5"/>
  <c r="P5" i="1"/>
  <c r="P6"/>
  <c r="P4"/>
  <c r="N4"/>
  <c r="N5"/>
  <c r="N6"/>
  <c r="N3"/>
  <c r="E19" i="4"/>
  <c r="L16"/>
  <c r="H16"/>
  <c r="L15"/>
  <c r="H15"/>
  <c r="L14"/>
  <c r="H14"/>
  <c r="L13"/>
  <c r="H13"/>
  <c r="L12"/>
  <c r="H12"/>
  <c r="L11"/>
  <c r="H11"/>
  <c r="L10"/>
  <c r="H10"/>
  <c r="H19" s="1"/>
  <c r="J8"/>
  <c r="M16" s="1"/>
  <c r="I16" s="1"/>
  <c r="J7"/>
  <c r="M15" s="1"/>
  <c r="I15" s="1"/>
  <c r="J6"/>
  <c r="M14" s="1"/>
  <c r="I14" s="1"/>
  <c r="J5"/>
  <c r="M13" s="1"/>
  <c r="I13" s="1"/>
  <c r="J4"/>
  <c r="M12" s="1"/>
  <c r="I12" s="1"/>
  <c r="J3"/>
  <c r="M11" s="1"/>
  <c r="I11" s="1"/>
  <c r="J2"/>
  <c r="M10" s="1"/>
  <c r="I10" s="1"/>
  <c r="I19" l="1"/>
  <c r="G10" i="6" l="1"/>
  <c r="G8" i="3"/>
  <c r="G11" s="1"/>
  <c r="C3" i="7"/>
  <c r="B9" i="2"/>
  <c r="M4" i="7"/>
  <c r="M5"/>
  <c r="M6"/>
  <c r="O4"/>
  <c r="O5"/>
  <c r="O6"/>
  <c r="O3"/>
  <c r="M3"/>
  <c r="C4"/>
  <c r="C5"/>
  <c r="C6"/>
  <c r="H3"/>
  <c r="G6"/>
  <c r="G5"/>
  <c r="G4"/>
  <c r="G3"/>
  <c r="P3" i="1"/>
  <c r="G6" i="6"/>
  <c r="H4" i="1"/>
  <c r="H5"/>
  <c r="H6"/>
  <c r="D4"/>
  <c r="F4" s="1"/>
  <c r="I4" s="1"/>
  <c r="D5"/>
  <c r="F5" s="1"/>
  <c r="D6"/>
  <c r="F6" s="1"/>
  <c r="I6" s="1"/>
  <c r="G12" i="6"/>
  <c r="G14" i="3" l="1"/>
  <c r="G13"/>
  <c r="G12"/>
  <c r="O7" i="7"/>
  <c r="P5"/>
  <c r="M7"/>
  <c r="H4"/>
  <c r="P4"/>
  <c r="H5"/>
  <c r="G7"/>
  <c r="H6"/>
  <c r="P6"/>
  <c r="E7"/>
  <c r="P3"/>
  <c r="Q4" i="1"/>
  <c r="S4" s="1"/>
  <c r="Q6"/>
  <c r="S6" s="1"/>
  <c r="I5"/>
  <c r="Q5"/>
  <c r="Q3"/>
  <c r="G13" i="6"/>
  <c r="R5" i="7" l="1"/>
  <c r="S5" i="1"/>
  <c r="R4" i="7"/>
  <c r="R3"/>
  <c r="P7"/>
  <c r="R6"/>
  <c r="H7"/>
  <c r="P7" i="1"/>
  <c r="H3"/>
  <c r="N7"/>
  <c r="G4" i="5" s="1"/>
  <c r="D3" i="1"/>
  <c r="F3" s="1"/>
  <c r="R7" i="7" l="1"/>
  <c r="Q7" i="1"/>
  <c r="H7"/>
  <c r="I3"/>
  <c r="S3" s="1"/>
  <c r="F7"/>
  <c r="I7" l="1"/>
  <c r="S7" l="1"/>
  <c r="G6" i="5" s="1"/>
  <c r="G3"/>
  <c r="G7" l="1"/>
  <c r="G8"/>
  <c r="G9"/>
</calcChain>
</file>

<file path=xl/sharedStrings.xml><?xml version="1.0" encoding="utf-8"?>
<sst xmlns="http://schemas.openxmlformats.org/spreadsheetml/2006/main" count="171" uniqueCount="104">
  <si>
    <t>QUANTITATIVO GERAL PISO TÁTIL E PISO PAVER</t>
  </si>
  <si>
    <t>CALÇADA</t>
  </si>
  <si>
    <t>EXTENSÃO CALÇADA (m)</t>
  </si>
  <si>
    <t>Q1</t>
  </si>
  <si>
    <t>Q2</t>
  </si>
  <si>
    <t>Q3</t>
  </si>
  <si>
    <t>Q4</t>
  </si>
  <si>
    <t>LARGURA CALÇADA EXCLUSO MEIO FIO  (m)</t>
  </si>
  <si>
    <t>EXTENSÃO CALÇADA EXCLUÍDO MEIO FIO E INCLUSO LIMPA RODA (m)</t>
  </si>
  <si>
    <t>ÁREA CALÇADA EXCLUSO MEIO FIO E INCLUSO LIMPA RODA (m²)</t>
  </si>
  <si>
    <t>ÁREA DA CALÇADA FORA MEIO FIO E LIMPA RODAS (m²)</t>
  </si>
  <si>
    <t>ÁREA DO PISO TÁTIL ALERTA (m²)</t>
  </si>
  <si>
    <t>ÁREA DO PISO TÁTIL DIRECIONAL (m²)</t>
  </si>
  <si>
    <t>ÁREA TOTAL PISO TÁTIL (m²)</t>
  </si>
  <si>
    <t>ÁREA TOTAL PAVER (m²)</t>
  </si>
  <si>
    <t>QUANTITATIVO MEIO FIO</t>
  </si>
  <si>
    <t xml:space="preserve">Q1 = </t>
  </si>
  <si>
    <t>(m)</t>
  </si>
  <si>
    <t>Q2=</t>
  </si>
  <si>
    <t>Q3=</t>
  </si>
  <si>
    <t>QUANTIDADE DE MEIO FIO 12CM A SER DESCONTADO</t>
  </si>
  <si>
    <t>QTDADE</t>
  </si>
  <si>
    <t>EXTENSÃO DO PAVIMENTO</t>
  </si>
  <si>
    <t>UNIDADE</t>
  </si>
  <si>
    <t>m</t>
  </si>
  <si>
    <t>PAVIMENTAÇÃO</t>
  </si>
  <si>
    <t>MEIO FIO  15x12x30x100cm (Fck = 25.0 MPa)</t>
  </si>
  <si>
    <t>LARGURA RUA</t>
  </si>
  <si>
    <t>m³</t>
  </si>
  <si>
    <t>LIMPA RODA 0,85 M²</t>
  </si>
  <si>
    <t>m²</t>
  </si>
  <si>
    <t>REGULARIZAÇÃO DO SUB-LEITO E COMPACT. (M. NIVELADORA)</t>
  </si>
  <si>
    <t>CAIXA DE BOCA DE LOBO</t>
  </si>
  <si>
    <t xml:space="preserve">CAIXA DE LIGAÇÃO </t>
  </si>
  <si>
    <t xml:space="preserve">ÁREA TOTAL DA CALÇADA </t>
  </si>
  <si>
    <t>PISO TÁTIL ALERTA</t>
  </si>
  <si>
    <t>PISO TÁTIL DIRECIONAL</t>
  </si>
  <si>
    <t>PISO BLOCO DE CONCRETO PAVER</t>
  </si>
  <si>
    <t>SINALIZAÇÃO HORIZONTAL E VERTICAL</t>
  </si>
  <si>
    <t>PINTURA DE FAIXA DE PEDESTRE</t>
  </si>
  <si>
    <t>PLACA PASSAGEM DE PEDESTRE CÓDIGO A-32 L=0,50m</t>
  </si>
  <si>
    <t>PLACA PARE CÓDIGO - R - 1 L = 0,25m</t>
  </si>
  <si>
    <t>INDICAÇÃO DE RUA</t>
  </si>
  <si>
    <t>PLACA LIMITE DE VELOCIDADE 40KM/H CÓDIGO R - 19 L=0,50m</t>
  </si>
  <si>
    <t>DRENAGEM</t>
  </si>
  <si>
    <t>Unid.</t>
  </si>
  <si>
    <t>unid.</t>
  </si>
  <si>
    <t>QUANTIDADE DE LIMPA RODAS (UNID.)</t>
  </si>
  <si>
    <t>QUANTIDADE DE PARADAS PARA PEDESTRES</t>
  </si>
  <si>
    <t>LARGURA DA FAIXA</t>
  </si>
  <si>
    <t>EXTENSÃO FAIXA AMARELA TRACEJADA</t>
  </si>
  <si>
    <t>QUANTIDADE DE FAIXA CONTÍNUA 15,00m</t>
  </si>
  <si>
    <t>ÁREA DE PINTURA DE FAIXA AMARELA</t>
  </si>
  <si>
    <t>QUANT. DE RAMPAS</t>
  </si>
  <si>
    <t>QUANT. DE POSTES</t>
  </si>
  <si>
    <t>ÁREA DO PISO TÁTIL ALERTA  EXTRA (m²)</t>
  </si>
  <si>
    <t>ÁREA DO PISO TÁTIL DIRECIONAL EXTRA (m²)</t>
  </si>
  <si>
    <t>ÁREA TOTAL PAVER EXTRA (m²)</t>
  </si>
  <si>
    <t>QUANT. DE PISO TÁTIL ALERTA EM  MUDANÇA DE DIREÇÃO</t>
  </si>
  <si>
    <t>QUANTIDADE DE FAIXA DE RETENÇÃO</t>
  </si>
  <si>
    <t>ÁREA DE PINTURA DE FAIXA RETENÇÃO</t>
  </si>
  <si>
    <t>ÁREA TOTAL PINTURA DE FAIXA DE PEDESTRE BRANCA</t>
  </si>
  <si>
    <t>LIMPA RODA 0,57m² (m²)</t>
  </si>
  <si>
    <t>ÁREA DE PINTURA FAIXA AMARELA EXTRA</t>
  </si>
  <si>
    <t>PINTURA DE FAIXA DE PEDESTRE EXTRA</t>
  </si>
  <si>
    <t>ÁREA DA CALÇADA FORA MEIO FIO (m²)</t>
  </si>
  <si>
    <t>ÁREA DE MEIO FIO (L x 0,12)(M²)</t>
  </si>
  <si>
    <t>SOMATÓRIO DAS LARGURAS DAS CALÇADAS ONDE SERÃO FEITAS RAMPAS (m)</t>
  </si>
  <si>
    <t>EXTENSÃO DA CALÇADA COM PISO TÁTIL EXCETO LIMPA RODA (m)</t>
  </si>
  <si>
    <t>ÁREA CALÇADA TOTAL HACHURAS DESENHO (m²)</t>
  </si>
  <si>
    <t>Q5</t>
  </si>
  <si>
    <t>Q6</t>
  </si>
  <si>
    <t>REGULAR. E COMPACT. COM LASTRO DE PÓ DE BRITA ESP 4cm</t>
  </si>
  <si>
    <t>COLCHÃO DE AREIA COMPACTADO ESP 4cm</t>
  </si>
  <si>
    <t>REVESTIMENTO LAJOTA DE CONCRETO SEXTAVADA 8cm (Fck=35,0 MPa)</t>
  </si>
  <si>
    <t xml:space="preserve"> BASE DE BRITA GRADUADA COMPACTADA esp10cm</t>
  </si>
  <si>
    <t xml:space="preserve"> COCHÃO DE AREIÀ COMPACTADO  esp 5cm</t>
  </si>
  <si>
    <t>REGULARIZAÇÃODO PAV. COM PÓ DE PEDRA BRITADA esp 0,005m</t>
  </si>
  <si>
    <t>LIMPA RODA EXTRA 119,879m²</t>
  </si>
  <si>
    <t>∅ DN</t>
  </si>
  <si>
    <t>DIÂM EXTERNO</t>
  </si>
  <si>
    <t>Área Tubo (m²)</t>
  </si>
  <si>
    <t>CONSIDERADOS TODOS COMPACTADOS</t>
  </si>
  <si>
    <t>CÁLCULO VOLUME CORTE ATERRO</t>
  </si>
  <si>
    <t>ESCARIF (m³)</t>
  </si>
  <si>
    <t>REATERRO (m³)</t>
  </si>
  <si>
    <t>X</t>
  </si>
  <si>
    <t>Y</t>
  </si>
  <si>
    <t>ESCAR(M³)</t>
  </si>
  <si>
    <t>REAT (M³)</t>
  </si>
  <si>
    <t>TUBOS ∅30cm</t>
  </si>
  <si>
    <t>TUBOS ∅40cm</t>
  </si>
  <si>
    <t>TUBOS ∅50cm</t>
  </si>
  <si>
    <t>TUBOS ∅60cm</t>
  </si>
  <si>
    <t>TUBOS ∅80cm</t>
  </si>
  <si>
    <t>TUBOS ∅100cm</t>
  </si>
  <si>
    <t>TUBOS ∅120cm</t>
  </si>
  <si>
    <t>CAIXA DE LIG</t>
  </si>
  <si>
    <t>TOTAL=</t>
  </si>
  <si>
    <t>BOCA LOBO</t>
  </si>
  <si>
    <t>TOTAL TUBOS=</t>
  </si>
  <si>
    <t>COLCHÃO DE BRITA (0,50X0,10)=</t>
  </si>
  <si>
    <t>REGULARIZAÇÃO MECÂNICA</t>
  </si>
  <si>
    <t>MEIO FIO DE TRAVAMENTO 10x30x100cm (Fck = 15.0 MPa)</t>
  </si>
</sst>
</file>

<file path=xl/styles.xml><?xml version="1.0" encoding="utf-8"?>
<styleSheet xmlns="http://schemas.openxmlformats.org/spreadsheetml/2006/main">
  <numFmts count="1">
    <numFmt numFmtId="164" formatCode="0.00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justify"/>
    </xf>
    <xf numFmtId="0" fontId="0" fillId="0" borderId="1" xfId="0" applyBorder="1" applyAlignment="1">
      <alignment horizontal="centerContinuous" vertical="justify" wrapText="1"/>
    </xf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justify" wrapText="1" readingOrder="1"/>
    </xf>
    <xf numFmtId="0" fontId="0" fillId="0" borderId="0" xfId="0" applyAlignment="1">
      <alignment horizontal="center" readingOrder="1"/>
    </xf>
    <xf numFmtId="0" fontId="0" fillId="0" borderId="1" xfId="0" applyBorder="1" applyAlignment="1">
      <alignment horizontal="center" vertical="justify" wrapText="1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/>
    <xf numFmtId="2" fontId="1" fillId="0" borderId="1" xfId="0" applyNumberFormat="1" applyFont="1" applyBorder="1"/>
    <xf numFmtId="2" fontId="1" fillId="0" borderId="2" xfId="0" applyNumberFormat="1" applyFont="1" applyBorder="1"/>
    <xf numFmtId="2" fontId="1" fillId="0" borderId="1" xfId="0" applyNumberFormat="1" applyFont="1" applyBorder="1" applyAlignment="1">
      <alignment horizontal="center" readingOrder="1"/>
    </xf>
    <xf numFmtId="2" fontId="0" fillId="0" borderId="1" xfId="0" applyNumberFormat="1" applyFont="1" applyBorder="1"/>
    <xf numFmtId="2" fontId="0" fillId="0" borderId="1" xfId="0" applyNumberFormat="1" applyBorder="1" applyAlignment="1">
      <alignment horizontal="center" readingOrder="1"/>
    </xf>
    <xf numFmtId="2" fontId="0" fillId="0" borderId="0" xfId="0" applyNumberFormat="1"/>
    <xf numFmtId="2" fontId="3" fillId="0" borderId="1" xfId="0" applyNumberFormat="1" applyFont="1" applyBorder="1"/>
    <xf numFmtId="2" fontId="3" fillId="0" borderId="1" xfId="0" applyNumberFormat="1" applyFont="1" applyBorder="1" applyAlignment="1">
      <alignment horizontal="center"/>
    </xf>
    <xf numFmtId="2" fontId="2" fillId="0" borderId="1" xfId="0" applyNumberFormat="1" applyFon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Fill="1" applyBorder="1"/>
    <xf numFmtId="0" fontId="6" fillId="0" borderId="1" xfId="0" applyFont="1" applyBorder="1" applyAlignment="1">
      <alignment horizontal="centerContinuous" vertical="justify" wrapText="1"/>
    </xf>
    <xf numFmtId="2" fontId="6" fillId="0" borderId="1" xfId="0" applyNumberFormat="1" applyFont="1" applyBorder="1"/>
    <xf numFmtId="0" fontId="6" fillId="0" borderId="0" xfId="0" applyFont="1"/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1" fillId="0" borderId="2" xfId="0" applyFont="1" applyBorder="1" applyAlignment="1">
      <alignment horizontal="center" vertical="justify"/>
    </xf>
    <xf numFmtId="0" fontId="1" fillId="0" borderId="3" xfId="0" applyFont="1" applyBorder="1" applyAlignment="1">
      <alignment horizontal="center" vertical="justify"/>
    </xf>
    <xf numFmtId="0" fontId="1" fillId="0" borderId="4" xfId="0" applyFont="1" applyBorder="1" applyAlignment="1">
      <alignment horizontal="center" vertical="justify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tabSelected="1" workbookViewId="0">
      <selection activeCell="E10" sqref="E10"/>
    </sheetView>
  </sheetViews>
  <sheetFormatPr defaultRowHeight="15"/>
  <cols>
    <col min="1" max="1" width="8.28515625" customWidth="1"/>
    <col min="2" max="2" width="10" customWidth="1"/>
    <col min="3" max="3" width="10.28515625" customWidth="1"/>
    <col min="4" max="4" width="10.7109375" customWidth="1"/>
    <col min="5" max="5" width="9.28515625" customWidth="1"/>
    <col min="6" max="6" width="11.140625" customWidth="1"/>
    <col min="7" max="7" width="9.28515625" style="15" customWidth="1"/>
    <col min="8" max="8" width="7" bestFit="1" customWidth="1"/>
    <col min="9" max="9" width="11.42578125" bestFit="1" customWidth="1"/>
    <col min="10" max="10" width="8.85546875" style="10" customWidth="1"/>
    <col min="11" max="11" width="11.5703125" style="10" bestFit="1" customWidth="1"/>
    <col min="12" max="12" width="8" style="10" bestFit="1" customWidth="1"/>
    <col min="13" max="13" width="8.85546875" style="10" bestFit="1" customWidth="1"/>
    <col min="14" max="14" width="7.5703125" bestFit="1" customWidth="1"/>
    <col min="15" max="16" width="8.28515625" bestFit="1" customWidth="1"/>
    <col min="17" max="17" width="7" bestFit="1" customWidth="1"/>
    <col min="18" max="18" width="6.85546875" bestFit="1" customWidth="1"/>
    <col min="19" max="19" width="9" bestFit="1" customWidth="1"/>
  </cols>
  <sheetData>
    <row r="1" spans="1:19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4"/>
    </row>
    <row r="2" spans="1:19" s="1" customFormat="1" ht="126" customHeight="1">
      <c r="A2" s="2" t="s">
        <v>1</v>
      </c>
      <c r="B2" s="3" t="s">
        <v>2</v>
      </c>
      <c r="C2" s="3" t="s">
        <v>20</v>
      </c>
      <c r="D2" s="3" t="s">
        <v>8</v>
      </c>
      <c r="E2" s="4" t="s">
        <v>7</v>
      </c>
      <c r="F2" s="4" t="s">
        <v>9</v>
      </c>
      <c r="G2" s="14" t="s">
        <v>47</v>
      </c>
      <c r="H2" s="4" t="s">
        <v>62</v>
      </c>
      <c r="I2" s="4" t="s">
        <v>10</v>
      </c>
      <c r="J2" s="16" t="s">
        <v>53</v>
      </c>
      <c r="K2" s="16" t="s">
        <v>58</v>
      </c>
      <c r="L2" s="16" t="s">
        <v>54</v>
      </c>
      <c r="M2" s="4" t="s">
        <v>55</v>
      </c>
      <c r="N2" s="4" t="s">
        <v>11</v>
      </c>
      <c r="O2" s="4" t="s">
        <v>56</v>
      </c>
      <c r="P2" s="4" t="s">
        <v>12</v>
      </c>
      <c r="Q2" s="4" t="s">
        <v>13</v>
      </c>
      <c r="R2" s="4" t="s">
        <v>57</v>
      </c>
      <c r="S2" s="4" t="s">
        <v>14</v>
      </c>
    </row>
    <row r="3" spans="1:19">
      <c r="A3" s="22" t="s">
        <v>3</v>
      </c>
      <c r="B3" s="23">
        <v>235.53</v>
      </c>
      <c r="C3" s="23">
        <v>2</v>
      </c>
      <c r="D3" s="22">
        <f>B3-(C3*0.12)</f>
        <v>235.29</v>
      </c>
      <c r="E3" s="24">
        <v>1.88</v>
      </c>
      <c r="F3" s="22">
        <f>(D3*E3)</f>
        <v>442.34519999999998</v>
      </c>
      <c r="G3" s="25">
        <v>1</v>
      </c>
      <c r="H3" s="26">
        <f>0.57*G3</f>
        <v>0.56999999999999995</v>
      </c>
      <c r="I3" s="22">
        <f>F3-H3</f>
        <v>441.77519999999998</v>
      </c>
      <c r="J3" s="13">
        <v>2</v>
      </c>
      <c r="K3" s="13">
        <v>2</v>
      </c>
      <c r="L3" s="13">
        <v>7</v>
      </c>
      <c r="M3" s="13">
        <v>0</v>
      </c>
      <c r="N3" s="26">
        <f>((((2*E3+1.2)*J3)+(K3*0.4+L3*1.8))*0.4)+M3</f>
        <v>9.3280000000000012</v>
      </c>
      <c r="O3" s="23">
        <v>0</v>
      </c>
      <c r="P3" s="26">
        <f>((B3-((1.08+0.12)*G3)-5.6*J3)*0.4)+O3</f>
        <v>89.25200000000001</v>
      </c>
      <c r="Q3" s="22">
        <f>SUM(N3,P3)</f>
        <v>98.580000000000013</v>
      </c>
      <c r="R3" s="23">
        <v>0</v>
      </c>
      <c r="S3" s="23">
        <f>I3-Q3+R3</f>
        <v>343.1952</v>
      </c>
    </row>
    <row r="4" spans="1:19">
      <c r="A4" s="22" t="s">
        <v>4</v>
      </c>
      <c r="B4" s="23">
        <v>67.66</v>
      </c>
      <c r="C4" s="23">
        <v>3</v>
      </c>
      <c r="D4" s="22">
        <f>B4-(C4*0.12)</f>
        <v>67.3</v>
      </c>
      <c r="E4" s="24">
        <v>1.88</v>
      </c>
      <c r="F4" s="22">
        <f t="shared" ref="F4:F6" si="0">(D4*E4)</f>
        <v>126.52399999999999</v>
      </c>
      <c r="G4" s="25">
        <v>3</v>
      </c>
      <c r="H4" s="26">
        <f t="shared" ref="H4:H6" si="1">0.57*G4</f>
        <v>1.71</v>
      </c>
      <c r="I4" s="22">
        <f t="shared" ref="I4:I6" si="2">F4-H4</f>
        <v>124.81399999999999</v>
      </c>
      <c r="J4" s="13">
        <v>2</v>
      </c>
      <c r="K4" s="13">
        <v>3</v>
      </c>
      <c r="L4" s="13">
        <v>1</v>
      </c>
      <c r="M4" s="13">
        <v>0</v>
      </c>
      <c r="N4" s="26">
        <f>((((2*E4+1.2)*J4)+(K4*0.4+L4*1.8))*0.4)+M4</f>
        <v>5.1680000000000001</v>
      </c>
      <c r="O4" s="23">
        <v>0</v>
      </c>
      <c r="P4" s="26">
        <f>((B4-((1.08+0.12)*G4)-5.6*J4)*0.4)+O4</f>
        <v>21.144000000000002</v>
      </c>
      <c r="Q4" s="22">
        <f t="shared" ref="Q4:Q6" si="3">SUM(N4,P4)</f>
        <v>26.312000000000001</v>
      </c>
      <c r="R4" s="23">
        <v>0</v>
      </c>
      <c r="S4" s="23">
        <f t="shared" ref="S4:S6" si="4">I4-Q4+R4</f>
        <v>98.501999999999995</v>
      </c>
    </row>
    <row r="5" spans="1:19">
      <c r="A5" s="22" t="s">
        <v>5</v>
      </c>
      <c r="B5" s="23">
        <v>212.126</v>
      </c>
      <c r="C5" s="23">
        <v>3</v>
      </c>
      <c r="D5" s="22">
        <f>B5-(C5*0.12)</f>
        <v>211.76599999999999</v>
      </c>
      <c r="E5" s="24">
        <v>1.68</v>
      </c>
      <c r="F5" s="22">
        <f t="shared" si="0"/>
        <v>355.76687999999996</v>
      </c>
      <c r="G5" s="25">
        <v>3</v>
      </c>
      <c r="H5" s="26">
        <f t="shared" si="1"/>
        <v>1.71</v>
      </c>
      <c r="I5" s="22">
        <f t="shared" si="2"/>
        <v>354.05687999999998</v>
      </c>
      <c r="J5" s="13">
        <v>2</v>
      </c>
      <c r="K5" s="13">
        <v>3</v>
      </c>
      <c r="L5" s="13">
        <v>0</v>
      </c>
      <c r="M5" s="13">
        <v>0</v>
      </c>
      <c r="N5" s="26">
        <f t="shared" ref="N5:N6" si="5">((((2*E5+1.2)*J5)+(K5*0.4+L5*1.8))*0.4)+M5</f>
        <v>4.1280000000000001</v>
      </c>
      <c r="O5" s="23">
        <v>0</v>
      </c>
      <c r="P5" s="26">
        <f>((B5-((1.08+0.12)*G5)-5.6*J5)*0.4)+O5</f>
        <v>78.93040000000002</v>
      </c>
      <c r="Q5" s="22">
        <f t="shared" si="3"/>
        <v>83.05840000000002</v>
      </c>
      <c r="R5" s="23">
        <v>0</v>
      </c>
      <c r="S5" s="23">
        <f t="shared" si="4"/>
        <v>270.99847999999997</v>
      </c>
    </row>
    <row r="6" spans="1:19">
      <c r="A6" s="22" t="s">
        <v>6</v>
      </c>
      <c r="B6" s="23">
        <v>73.42</v>
      </c>
      <c r="C6" s="23">
        <v>3</v>
      </c>
      <c r="D6" s="22">
        <f>B6-(C6*0.12)</f>
        <v>73.06</v>
      </c>
      <c r="E6" s="24">
        <v>1.88</v>
      </c>
      <c r="F6" s="22">
        <f t="shared" si="0"/>
        <v>137.3528</v>
      </c>
      <c r="G6" s="27">
        <v>2</v>
      </c>
      <c r="H6" s="26">
        <f t="shared" si="1"/>
        <v>1.1399999999999999</v>
      </c>
      <c r="I6" s="22">
        <f t="shared" si="2"/>
        <v>136.21280000000002</v>
      </c>
      <c r="J6" s="13">
        <v>2</v>
      </c>
      <c r="K6" s="13">
        <v>3</v>
      </c>
      <c r="L6" s="13">
        <v>0</v>
      </c>
      <c r="M6" s="13">
        <v>0</v>
      </c>
      <c r="N6" s="26">
        <f t="shared" si="5"/>
        <v>4.4480000000000004</v>
      </c>
      <c r="O6" s="23">
        <v>0</v>
      </c>
      <c r="P6" s="26">
        <f>((B6-((1.08+0.12)*G6)-5.6*J6)*0.4)+O6</f>
        <v>23.927999999999997</v>
      </c>
      <c r="Q6" s="22">
        <f t="shared" si="3"/>
        <v>28.375999999999998</v>
      </c>
      <c r="R6" s="23">
        <v>0</v>
      </c>
      <c r="S6" s="23">
        <f t="shared" si="4"/>
        <v>107.83680000000001</v>
      </c>
    </row>
    <row r="7" spans="1:19">
      <c r="A7" s="28"/>
      <c r="B7" s="28"/>
      <c r="C7" s="28"/>
      <c r="D7" s="28"/>
      <c r="E7" s="28"/>
      <c r="F7" s="22">
        <f t="shared" ref="F7:H7" si="6">SUM(F3:F6)</f>
        <v>1061.9888799999999</v>
      </c>
      <c r="G7" s="27"/>
      <c r="H7" s="22">
        <f t="shared" si="6"/>
        <v>5.13</v>
      </c>
      <c r="I7" s="29">
        <f>SUM(I3:I6)</f>
        <v>1056.85888</v>
      </c>
      <c r="J7" s="30"/>
      <c r="K7" s="30"/>
      <c r="L7" s="30"/>
      <c r="M7" s="30"/>
      <c r="N7" s="31">
        <f t="shared" ref="N7:Q7" si="7">SUM(N3:N6)</f>
        <v>23.072000000000003</v>
      </c>
      <c r="O7" s="31"/>
      <c r="P7" s="31">
        <f t="shared" si="7"/>
        <v>213.25440000000003</v>
      </c>
      <c r="Q7" s="31">
        <f t="shared" si="7"/>
        <v>236.32640000000004</v>
      </c>
      <c r="R7" s="31"/>
      <c r="S7" s="29">
        <f>I7-Q7</f>
        <v>820.53247999999996</v>
      </c>
    </row>
  </sheetData>
  <mergeCells count="1">
    <mergeCell ref="A1:S1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J25" sqref="J25"/>
    </sheetView>
  </sheetViews>
  <sheetFormatPr defaultRowHeight="15"/>
  <sheetData>
    <row r="1" spans="1:4" ht="27" customHeight="1">
      <c r="A1" s="75" t="s">
        <v>15</v>
      </c>
      <c r="B1" s="76"/>
      <c r="C1" s="76"/>
      <c r="D1" s="77"/>
    </row>
    <row r="2" spans="1:4">
      <c r="A2" s="5"/>
      <c r="B2" s="3" t="s">
        <v>17</v>
      </c>
      <c r="C2" s="6"/>
      <c r="D2" s="7"/>
    </row>
    <row r="3" spans="1:4">
      <c r="A3" s="5" t="s">
        <v>16</v>
      </c>
      <c r="B3" s="34">
        <v>236.52</v>
      </c>
      <c r="C3" s="6"/>
      <c r="D3" s="7"/>
    </row>
    <row r="4" spans="1:4">
      <c r="A4" s="5" t="s">
        <v>18</v>
      </c>
      <c r="B4" s="34">
        <v>73.3</v>
      </c>
      <c r="C4" s="6"/>
      <c r="D4" s="7"/>
    </row>
    <row r="5" spans="1:4">
      <c r="A5" s="5" t="s">
        <v>19</v>
      </c>
      <c r="B5" s="34">
        <v>215.18</v>
      </c>
      <c r="C5" s="6"/>
      <c r="D5" s="7"/>
    </row>
    <row r="6" spans="1:4">
      <c r="A6" s="5" t="s">
        <v>6</v>
      </c>
      <c r="B6" s="34">
        <v>78.19</v>
      </c>
      <c r="C6" s="8"/>
      <c r="D6" s="9"/>
    </row>
    <row r="7" spans="1:4">
      <c r="A7" s="35" t="s">
        <v>70</v>
      </c>
      <c r="B7" s="34">
        <v>0</v>
      </c>
      <c r="C7" s="6"/>
      <c r="D7" s="6"/>
    </row>
    <row r="8" spans="1:4">
      <c r="A8" s="35" t="s">
        <v>71</v>
      </c>
      <c r="B8" s="34">
        <v>0</v>
      </c>
      <c r="C8" s="6"/>
      <c r="D8" s="6"/>
    </row>
    <row r="9" spans="1:4">
      <c r="B9" s="34">
        <f>SUM(B3:B8)</f>
        <v>603.19000000000005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1004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4"/>
  <sheetViews>
    <sheetView workbookViewId="0">
      <selection activeCell="F19" sqref="F19"/>
    </sheetView>
  </sheetViews>
  <sheetFormatPr defaultRowHeight="15"/>
  <cols>
    <col min="6" max="6" width="18.140625" customWidth="1"/>
    <col min="7" max="7" width="10" customWidth="1"/>
  </cols>
  <sheetData>
    <row r="2" spans="1:8" ht="19.5">
      <c r="A2" s="78" t="s">
        <v>25</v>
      </c>
      <c r="B2" s="79"/>
      <c r="C2" s="79"/>
      <c r="D2" s="79"/>
      <c r="E2" s="79"/>
      <c r="F2" s="79"/>
      <c r="G2" s="79"/>
      <c r="H2" s="80"/>
    </row>
    <row r="3" spans="1:8">
      <c r="A3" s="81"/>
      <c r="B3" s="82"/>
      <c r="C3" s="82"/>
      <c r="D3" s="82"/>
      <c r="E3" s="82"/>
      <c r="F3" s="83"/>
      <c r="G3" s="5" t="s">
        <v>21</v>
      </c>
      <c r="H3" s="5" t="s">
        <v>23</v>
      </c>
    </row>
    <row r="4" spans="1:8">
      <c r="A4" s="84" t="s">
        <v>22</v>
      </c>
      <c r="B4" s="87"/>
      <c r="C4" s="87"/>
      <c r="D4" s="87"/>
      <c r="E4" s="87"/>
      <c r="F4" s="88"/>
      <c r="G4" s="13">
        <v>320</v>
      </c>
      <c r="H4" s="39" t="s">
        <v>24</v>
      </c>
    </row>
    <row r="5" spans="1:8">
      <c r="A5" s="84" t="s">
        <v>27</v>
      </c>
      <c r="B5" s="87"/>
      <c r="C5" s="87"/>
      <c r="D5" s="87"/>
      <c r="E5" s="87"/>
      <c r="F5" s="88"/>
      <c r="G5" s="13">
        <v>8</v>
      </c>
      <c r="H5" s="39" t="s">
        <v>24</v>
      </c>
    </row>
    <row r="6" spans="1:8">
      <c r="A6" s="84" t="s">
        <v>29</v>
      </c>
      <c r="B6" s="87"/>
      <c r="C6" s="87"/>
      <c r="D6" s="87"/>
      <c r="E6" s="87"/>
      <c r="F6" s="88"/>
      <c r="G6" s="13">
        <v>0</v>
      </c>
      <c r="H6" s="39" t="s">
        <v>46</v>
      </c>
    </row>
    <row r="7" spans="1:8">
      <c r="A7" s="84" t="s">
        <v>78</v>
      </c>
      <c r="B7" s="87"/>
      <c r="C7" s="87"/>
      <c r="D7" s="87"/>
      <c r="E7" s="87"/>
      <c r="F7" s="88"/>
      <c r="G7" s="13">
        <v>1</v>
      </c>
      <c r="H7" s="39" t="s">
        <v>46</v>
      </c>
    </row>
    <row r="8" spans="1:8">
      <c r="A8" s="89" t="s">
        <v>74</v>
      </c>
      <c r="B8" s="90"/>
      <c r="C8" s="90"/>
      <c r="D8" s="90"/>
      <c r="E8" s="90"/>
      <c r="F8" s="91"/>
      <c r="G8" s="40">
        <f>G4*G5+G6*0.85+G7*119.879</f>
        <v>2679.8789999999999</v>
      </c>
      <c r="H8" s="39" t="s">
        <v>30</v>
      </c>
    </row>
    <row r="9" spans="1:8">
      <c r="A9" s="89" t="s">
        <v>103</v>
      </c>
      <c r="B9" s="90"/>
      <c r="C9" s="90"/>
      <c r="D9" s="90"/>
      <c r="E9" s="90"/>
      <c r="F9" s="91"/>
      <c r="G9" s="30">
        <v>84</v>
      </c>
      <c r="H9" s="71" t="s">
        <v>24</v>
      </c>
    </row>
    <row r="10" spans="1:8">
      <c r="A10" s="89" t="s">
        <v>26</v>
      </c>
      <c r="B10" s="90"/>
      <c r="C10" s="90"/>
      <c r="D10" s="90"/>
      <c r="E10" s="90"/>
      <c r="F10" s="91"/>
      <c r="G10" s="30">
        <v>607.19000000000005</v>
      </c>
      <c r="H10" s="33" t="s">
        <v>24</v>
      </c>
    </row>
    <row r="11" spans="1:8">
      <c r="A11" s="84" t="s">
        <v>75</v>
      </c>
      <c r="B11" s="87"/>
      <c r="C11" s="87"/>
      <c r="D11" s="87"/>
      <c r="E11" s="87"/>
      <c r="F11" s="88"/>
      <c r="G11" s="20">
        <f>G8*0.1</f>
        <v>267.98790000000002</v>
      </c>
      <c r="H11" s="33" t="s">
        <v>28</v>
      </c>
    </row>
    <row r="12" spans="1:8">
      <c r="A12" s="84" t="s">
        <v>76</v>
      </c>
      <c r="B12" s="87"/>
      <c r="C12" s="87"/>
      <c r="D12" s="87"/>
      <c r="E12" s="87"/>
      <c r="F12" s="88"/>
      <c r="G12" s="20">
        <f>G8*0.05</f>
        <v>133.99395000000001</v>
      </c>
      <c r="H12" s="33" t="s">
        <v>28</v>
      </c>
    </row>
    <row r="13" spans="1:8">
      <c r="A13" s="84" t="s">
        <v>77</v>
      </c>
      <c r="B13" s="87"/>
      <c r="C13" s="87"/>
      <c r="D13" s="87"/>
      <c r="E13" s="87"/>
      <c r="F13" s="88"/>
      <c r="G13" s="20">
        <f>G8*0.005</f>
        <v>13.399395</v>
      </c>
      <c r="H13" s="33" t="s">
        <v>28</v>
      </c>
    </row>
    <row r="14" spans="1:8">
      <c r="A14" s="84" t="s">
        <v>31</v>
      </c>
      <c r="B14" s="85"/>
      <c r="C14" s="85"/>
      <c r="D14" s="85"/>
      <c r="E14" s="85"/>
      <c r="F14" s="86"/>
      <c r="G14" s="20">
        <f>G8</f>
        <v>2679.8789999999999</v>
      </c>
      <c r="H14" s="33" t="s">
        <v>30</v>
      </c>
    </row>
  </sheetData>
  <mergeCells count="13">
    <mergeCell ref="A2:H2"/>
    <mergeCell ref="A3:F3"/>
    <mergeCell ref="A14:F14"/>
    <mergeCell ref="A7:F7"/>
    <mergeCell ref="A5:F5"/>
    <mergeCell ref="A6:F6"/>
    <mergeCell ref="A4:F4"/>
    <mergeCell ref="A8:F8"/>
    <mergeCell ref="A10:F10"/>
    <mergeCell ref="A11:F11"/>
    <mergeCell ref="A12:F12"/>
    <mergeCell ref="A13:F13"/>
    <mergeCell ref="A9:F9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E21" sqref="E21"/>
    </sheetView>
  </sheetViews>
  <sheetFormatPr defaultRowHeight="15"/>
  <cols>
    <col min="1" max="1" width="6.28515625" style="41" customWidth="1"/>
    <col min="2" max="2" width="6.140625" style="41" customWidth="1"/>
    <col min="3" max="3" width="3" style="41" customWidth="1"/>
    <col min="4" max="4" width="17" style="41" customWidth="1"/>
    <col min="5" max="5" width="9.140625" style="41"/>
    <col min="6" max="6" width="9.140625" style="41" bestFit="1" customWidth="1"/>
    <col min="7" max="7" width="7.5703125" style="41" bestFit="1" customWidth="1"/>
    <col min="8" max="8" width="12.42578125" style="41" bestFit="1" customWidth="1"/>
    <col min="9" max="9" width="14.7109375" style="41" bestFit="1" customWidth="1"/>
    <col min="10" max="10" width="14.42578125" style="41" bestFit="1" customWidth="1"/>
    <col min="11" max="11" width="12.42578125" style="41" bestFit="1" customWidth="1"/>
    <col min="12" max="12" width="10.5703125" style="41" bestFit="1" customWidth="1"/>
    <col min="13" max="13" width="9.85546875" style="41" bestFit="1" customWidth="1"/>
    <col min="14" max="14" width="5.85546875" style="41" customWidth="1"/>
    <col min="15" max="16384" width="9.140625" style="41"/>
  </cols>
  <sheetData>
    <row r="1" spans="1:14" ht="19.5">
      <c r="A1" s="94" t="s">
        <v>44</v>
      </c>
      <c r="B1" s="95"/>
      <c r="C1" s="95"/>
      <c r="D1" s="95"/>
      <c r="E1" s="95"/>
      <c r="F1" s="95"/>
      <c r="G1" s="55"/>
      <c r="H1" s="56" t="s">
        <v>79</v>
      </c>
      <c r="I1" s="56" t="s">
        <v>80</v>
      </c>
      <c r="J1" s="57" t="s">
        <v>81</v>
      </c>
      <c r="K1" s="58"/>
      <c r="L1" s="58"/>
      <c r="M1" s="58"/>
      <c r="N1" s="59"/>
    </row>
    <row r="2" spans="1:14">
      <c r="A2" s="96"/>
      <c r="B2" s="97"/>
      <c r="C2" s="97"/>
      <c r="D2" s="97"/>
      <c r="E2" s="45" t="s">
        <v>21</v>
      </c>
      <c r="F2" s="46" t="s">
        <v>23</v>
      </c>
      <c r="G2" s="44"/>
      <c r="H2" s="46">
        <v>30</v>
      </c>
      <c r="I2" s="46">
        <v>37</v>
      </c>
      <c r="J2" s="45">
        <f>(PI()*(((I2/2)/100)^2))</f>
        <v>0.10752100856911066</v>
      </c>
      <c r="K2" s="44"/>
      <c r="L2" s="44"/>
      <c r="M2" s="44"/>
      <c r="N2" s="60"/>
    </row>
    <row r="3" spans="1:14">
      <c r="A3" s="92"/>
      <c r="B3" s="93"/>
      <c r="C3" s="93"/>
      <c r="D3" s="93"/>
      <c r="E3" s="43"/>
      <c r="F3" s="46"/>
      <c r="G3" s="44"/>
      <c r="H3" s="46">
        <v>40</v>
      </c>
      <c r="I3" s="46">
        <v>48</v>
      </c>
      <c r="J3" s="45">
        <f t="shared" ref="J3:J8" si="0">(PI()*(((I3/2)/100)^2))</f>
        <v>0.18095573684677208</v>
      </c>
      <c r="K3" s="44"/>
      <c r="L3" s="44"/>
      <c r="M3" s="44"/>
      <c r="N3" s="60"/>
    </row>
    <row r="4" spans="1:14">
      <c r="A4" s="98" t="s">
        <v>32</v>
      </c>
      <c r="B4" s="99"/>
      <c r="C4" s="99"/>
      <c r="D4" s="99"/>
      <c r="E4" s="47">
        <v>16</v>
      </c>
      <c r="F4" s="48" t="s">
        <v>46</v>
      </c>
      <c r="G4" s="44"/>
      <c r="H4" s="46">
        <v>50</v>
      </c>
      <c r="I4" s="46">
        <v>60</v>
      </c>
      <c r="J4" s="45">
        <f t="shared" si="0"/>
        <v>0.28274333882308139</v>
      </c>
      <c r="K4" s="44"/>
      <c r="L4" s="44"/>
      <c r="M4" s="44"/>
      <c r="N4" s="60"/>
    </row>
    <row r="5" spans="1:14">
      <c r="A5" s="98" t="s">
        <v>33</v>
      </c>
      <c r="B5" s="99"/>
      <c r="C5" s="99"/>
      <c r="D5" s="99"/>
      <c r="E5" s="47">
        <v>15</v>
      </c>
      <c r="F5" s="48" t="s">
        <v>46</v>
      </c>
      <c r="G5" s="44"/>
      <c r="H5" s="46">
        <v>60</v>
      </c>
      <c r="I5" s="46">
        <v>71.099999999999994</v>
      </c>
      <c r="J5" s="45">
        <f t="shared" si="0"/>
        <v>0.39703526495884145</v>
      </c>
      <c r="K5" s="44"/>
      <c r="L5" s="44"/>
      <c r="M5" s="44"/>
      <c r="N5" s="60"/>
    </row>
    <row r="6" spans="1:14">
      <c r="A6" s="92"/>
      <c r="B6" s="93"/>
      <c r="C6" s="93"/>
      <c r="D6" s="93"/>
      <c r="E6" s="45"/>
      <c r="F6" s="46"/>
      <c r="G6" s="44"/>
      <c r="H6" s="46">
        <v>80</v>
      </c>
      <c r="I6" s="46">
        <v>93</v>
      </c>
      <c r="J6" s="45">
        <f t="shared" si="0"/>
        <v>0.67929087152245315</v>
      </c>
      <c r="K6" s="44"/>
      <c r="L6" s="44"/>
      <c r="M6" s="44"/>
      <c r="N6" s="60"/>
    </row>
    <row r="7" spans="1:14">
      <c r="A7" s="92"/>
      <c r="B7" s="93"/>
      <c r="C7" s="93"/>
      <c r="D7" s="93"/>
      <c r="E7" s="45"/>
      <c r="F7" s="46"/>
      <c r="G7" s="44"/>
      <c r="H7" s="46">
        <v>100</v>
      </c>
      <c r="I7" s="46">
        <v>120</v>
      </c>
      <c r="J7" s="45">
        <f t="shared" si="0"/>
        <v>1.1309733552923256</v>
      </c>
      <c r="K7" s="99" t="s">
        <v>82</v>
      </c>
      <c r="L7" s="99"/>
      <c r="M7" s="99"/>
      <c r="N7" s="100"/>
    </row>
    <row r="8" spans="1:14">
      <c r="A8" s="92"/>
      <c r="B8" s="93"/>
      <c r="C8" s="93"/>
      <c r="D8" s="93"/>
      <c r="E8" s="45"/>
      <c r="F8" s="46"/>
      <c r="G8" s="44"/>
      <c r="H8" s="46">
        <v>120</v>
      </c>
      <c r="I8" s="46">
        <v>144</v>
      </c>
      <c r="J8" s="45">
        <f t="shared" si="0"/>
        <v>1.6286016316209486</v>
      </c>
      <c r="K8" s="44"/>
      <c r="L8" s="44"/>
      <c r="M8" s="44"/>
      <c r="N8" s="60"/>
    </row>
    <row r="9" spans="1:14">
      <c r="A9" s="92" t="s">
        <v>83</v>
      </c>
      <c r="B9" s="93"/>
      <c r="C9" s="93"/>
      <c r="D9" s="93"/>
      <c r="E9" s="45" t="s">
        <v>21</v>
      </c>
      <c r="F9" s="46" t="s">
        <v>23</v>
      </c>
      <c r="G9" s="44"/>
      <c r="H9" s="42" t="s">
        <v>84</v>
      </c>
      <c r="I9" s="42" t="s">
        <v>85</v>
      </c>
      <c r="J9" s="43" t="s">
        <v>86</v>
      </c>
      <c r="K9" s="49" t="s">
        <v>87</v>
      </c>
      <c r="L9" s="49" t="s">
        <v>88</v>
      </c>
      <c r="M9" s="49" t="s">
        <v>89</v>
      </c>
      <c r="N9" s="60"/>
    </row>
    <row r="10" spans="1:14">
      <c r="A10" s="92" t="s">
        <v>90</v>
      </c>
      <c r="B10" s="93"/>
      <c r="C10" s="93"/>
      <c r="D10" s="93"/>
      <c r="E10" s="47">
        <v>85</v>
      </c>
      <c r="F10" s="50" t="s">
        <v>24</v>
      </c>
      <c r="G10" s="44"/>
      <c r="H10" s="43">
        <f>E10*L10</f>
        <v>93.500000000000014</v>
      </c>
      <c r="I10" s="43">
        <f>E10*M10</f>
        <v>84.360714271625611</v>
      </c>
      <c r="J10" s="45">
        <v>1</v>
      </c>
      <c r="K10" s="45">
        <v>1.1000000000000001</v>
      </c>
      <c r="L10" s="45">
        <f>J10*K10</f>
        <v>1.1000000000000001</v>
      </c>
      <c r="M10" s="45">
        <f>L10-J2</f>
        <v>0.99247899143088947</v>
      </c>
      <c r="N10" s="60"/>
    </row>
    <row r="11" spans="1:14">
      <c r="A11" s="92" t="s">
        <v>91</v>
      </c>
      <c r="B11" s="93"/>
      <c r="C11" s="93"/>
      <c r="D11" s="93"/>
      <c r="E11" s="47">
        <v>234</v>
      </c>
      <c r="F11" s="50" t="s">
        <v>24</v>
      </c>
      <c r="G11" s="44"/>
      <c r="H11" s="43">
        <f t="shared" ref="H11:H16" si="1">E11*L11</f>
        <v>308.88</v>
      </c>
      <c r="I11" s="43">
        <f t="shared" ref="I11:I16" si="2">E11*M11</f>
        <v>266.53635757785537</v>
      </c>
      <c r="J11" s="45">
        <v>1.1000000000000001</v>
      </c>
      <c r="K11" s="45">
        <v>1.2</v>
      </c>
      <c r="L11" s="45">
        <f t="shared" ref="L11:L16" si="3">J11*K11</f>
        <v>1.32</v>
      </c>
      <c r="M11" s="45">
        <f t="shared" ref="M11:M16" si="4">L11-J3</f>
        <v>1.139044263153228</v>
      </c>
      <c r="N11" s="60"/>
    </row>
    <row r="12" spans="1:14">
      <c r="A12" s="92" t="s">
        <v>92</v>
      </c>
      <c r="B12" s="93"/>
      <c r="C12" s="93"/>
      <c r="D12" s="93"/>
      <c r="E12" s="47">
        <v>64</v>
      </c>
      <c r="F12" s="50" t="s">
        <v>24</v>
      </c>
      <c r="G12" s="44"/>
      <c r="H12" s="43">
        <f t="shared" si="1"/>
        <v>116.47999999999999</v>
      </c>
      <c r="I12" s="43">
        <f t="shared" si="2"/>
        <v>98.384426315322784</v>
      </c>
      <c r="J12" s="45">
        <v>1.4</v>
      </c>
      <c r="K12" s="45">
        <v>1.3</v>
      </c>
      <c r="L12" s="45">
        <f t="shared" si="3"/>
        <v>1.8199999999999998</v>
      </c>
      <c r="M12" s="45">
        <f t="shared" si="4"/>
        <v>1.5372566611769185</v>
      </c>
      <c r="N12" s="60"/>
    </row>
    <row r="13" spans="1:14">
      <c r="A13" s="92" t="s">
        <v>93</v>
      </c>
      <c r="B13" s="93"/>
      <c r="C13" s="93"/>
      <c r="D13" s="93"/>
      <c r="E13" s="47">
        <v>0</v>
      </c>
      <c r="F13" s="50" t="s">
        <v>24</v>
      </c>
      <c r="G13" s="44"/>
      <c r="H13" s="43">
        <f t="shared" si="1"/>
        <v>0</v>
      </c>
      <c r="I13" s="43">
        <f t="shared" si="2"/>
        <v>0</v>
      </c>
      <c r="J13" s="45">
        <v>1.5</v>
      </c>
      <c r="K13" s="45">
        <v>1.4</v>
      </c>
      <c r="L13" s="45">
        <f t="shared" si="3"/>
        <v>2.0999999999999996</v>
      </c>
      <c r="M13" s="45">
        <f t="shared" si="4"/>
        <v>1.7029647350411583</v>
      </c>
      <c r="N13" s="60"/>
    </row>
    <row r="14" spans="1:14">
      <c r="A14" s="92" t="s">
        <v>94</v>
      </c>
      <c r="B14" s="93"/>
      <c r="C14" s="93"/>
      <c r="D14" s="93"/>
      <c r="E14" s="47">
        <v>0</v>
      </c>
      <c r="F14" s="50" t="s">
        <v>24</v>
      </c>
      <c r="G14" s="44"/>
      <c r="H14" s="43">
        <f t="shared" si="1"/>
        <v>0</v>
      </c>
      <c r="I14" s="43">
        <f t="shared" si="2"/>
        <v>0</v>
      </c>
      <c r="J14" s="45">
        <v>1.8</v>
      </c>
      <c r="K14" s="45">
        <v>1.6</v>
      </c>
      <c r="L14" s="45">
        <f t="shared" si="3"/>
        <v>2.8800000000000003</v>
      </c>
      <c r="M14" s="45">
        <f t="shared" si="4"/>
        <v>2.2007091284775471</v>
      </c>
      <c r="N14" s="60"/>
    </row>
    <row r="15" spans="1:14">
      <c r="A15" s="92" t="s">
        <v>95</v>
      </c>
      <c r="B15" s="93"/>
      <c r="C15" s="93"/>
      <c r="D15" s="93"/>
      <c r="E15" s="47">
        <v>0</v>
      </c>
      <c r="F15" s="50" t="s">
        <v>24</v>
      </c>
      <c r="G15" s="44"/>
      <c r="H15" s="43">
        <f t="shared" si="1"/>
        <v>0</v>
      </c>
      <c r="I15" s="43">
        <f t="shared" si="2"/>
        <v>0</v>
      </c>
      <c r="J15" s="45">
        <v>2.1</v>
      </c>
      <c r="K15" s="45">
        <v>1.9</v>
      </c>
      <c r="L15" s="45">
        <f t="shared" si="3"/>
        <v>3.9899999999999998</v>
      </c>
      <c r="M15" s="45">
        <f t="shared" si="4"/>
        <v>2.859026644707674</v>
      </c>
      <c r="N15" s="60"/>
    </row>
    <row r="16" spans="1:14">
      <c r="A16" s="92" t="s">
        <v>96</v>
      </c>
      <c r="B16" s="93"/>
      <c r="C16" s="93"/>
      <c r="D16" s="93"/>
      <c r="E16" s="47">
        <v>0</v>
      </c>
      <c r="F16" s="50" t="s">
        <v>24</v>
      </c>
      <c r="G16" s="44"/>
      <c r="H16" s="43">
        <f t="shared" si="1"/>
        <v>0</v>
      </c>
      <c r="I16" s="43">
        <f t="shared" si="2"/>
        <v>0</v>
      </c>
      <c r="J16" s="45">
        <v>2.2999999999999998</v>
      </c>
      <c r="K16" s="45">
        <v>2.1</v>
      </c>
      <c r="L16" s="45">
        <f t="shared" si="3"/>
        <v>4.83</v>
      </c>
      <c r="M16" s="45">
        <f t="shared" si="4"/>
        <v>3.2013983683790515</v>
      </c>
      <c r="N16" s="60"/>
    </row>
    <row r="17" spans="1:14">
      <c r="A17" s="61"/>
      <c r="B17" s="44"/>
      <c r="C17" s="44"/>
      <c r="D17" s="44"/>
      <c r="E17" s="62"/>
      <c r="F17" s="44"/>
      <c r="G17" s="44"/>
      <c r="H17" s="63"/>
      <c r="I17" s="63"/>
      <c r="J17" s="62"/>
      <c r="K17" s="42" t="s">
        <v>97</v>
      </c>
      <c r="L17" s="42">
        <v>1.2</v>
      </c>
      <c r="M17" s="44"/>
      <c r="N17" s="60"/>
    </row>
    <row r="18" spans="1:14">
      <c r="A18" s="61"/>
      <c r="B18" s="44"/>
      <c r="C18" s="44"/>
      <c r="D18" s="44"/>
      <c r="E18" s="62"/>
      <c r="F18" s="44"/>
      <c r="G18" s="44"/>
      <c r="H18" s="63"/>
      <c r="I18" s="63"/>
      <c r="J18" s="62"/>
      <c r="K18" s="42" t="s">
        <v>99</v>
      </c>
      <c r="L18" s="42">
        <v>1.2</v>
      </c>
      <c r="M18" s="44"/>
      <c r="N18" s="60"/>
    </row>
    <row r="19" spans="1:14">
      <c r="A19" s="61"/>
      <c r="B19" s="44"/>
      <c r="C19" s="44"/>
      <c r="D19" s="53" t="s">
        <v>100</v>
      </c>
      <c r="E19" s="45">
        <f>SUM(E10:E17)</f>
        <v>383</v>
      </c>
      <c r="F19" s="54" t="s">
        <v>24</v>
      </c>
      <c r="G19" s="52" t="s">
        <v>98</v>
      </c>
      <c r="H19" s="51">
        <f>SUM(H10:H16)+(L17*E5)+(L18*E4)</f>
        <v>556.06000000000006</v>
      </c>
      <c r="I19" s="51">
        <f>SUM(I10:I16)</f>
        <v>449.28149816480379</v>
      </c>
      <c r="J19" s="64"/>
      <c r="K19" s="44"/>
      <c r="L19" s="44"/>
      <c r="M19" s="44"/>
      <c r="N19" s="60"/>
    </row>
    <row r="20" spans="1:14" ht="45.75" thickBot="1">
      <c r="A20" s="65"/>
      <c r="B20" s="66"/>
      <c r="C20" s="66"/>
      <c r="D20" s="67" t="s">
        <v>101</v>
      </c>
      <c r="E20" s="68">
        <f>(E19-E10)*0.5*0.1</f>
        <v>14.9</v>
      </c>
      <c r="F20" s="69" t="s">
        <v>28</v>
      </c>
      <c r="G20" s="66"/>
      <c r="H20" s="66"/>
      <c r="I20" s="66"/>
      <c r="J20" s="66"/>
      <c r="K20" s="66"/>
      <c r="L20" s="66"/>
      <c r="M20" s="66"/>
      <c r="N20" s="70"/>
    </row>
  </sheetData>
  <mergeCells count="17">
    <mergeCell ref="A13:D13"/>
    <mergeCell ref="A14:D14"/>
    <mergeCell ref="A15:D15"/>
    <mergeCell ref="A16:D16"/>
    <mergeCell ref="K7:N7"/>
    <mergeCell ref="A8:D8"/>
    <mergeCell ref="A9:D9"/>
    <mergeCell ref="A10:D10"/>
    <mergeCell ref="A11:D11"/>
    <mergeCell ref="A6:D6"/>
    <mergeCell ref="A7:D7"/>
    <mergeCell ref="A12:D12"/>
    <mergeCell ref="A1:F1"/>
    <mergeCell ref="A2:D2"/>
    <mergeCell ref="A3:D3"/>
    <mergeCell ref="A4:D4"/>
    <mergeCell ref="A5:D5"/>
  </mergeCells>
  <pageMargins left="0.511811024" right="0.511811024" top="0.78740157499999996" bottom="0.78740157499999996" header="0.31496062000000002" footer="0.31496062000000002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H14" sqref="H14"/>
    </sheetView>
  </sheetViews>
  <sheetFormatPr defaultRowHeight="15"/>
  <sheetData>
    <row r="1" spans="1:8" ht="19.5">
      <c r="A1" s="104" t="s">
        <v>1</v>
      </c>
      <c r="B1" s="104"/>
      <c r="C1" s="104"/>
      <c r="D1" s="104"/>
      <c r="E1" s="104"/>
      <c r="F1" s="104"/>
      <c r="G1" s="104"/>
      <c r="H1" s="104"/>
    </row>
    <row r="2" spans="1:8">
      <c r="A2" s="81"/>
      <c r="B2" s="82"/>
      <c r="C2" s="82"/>
      <c r="D2" s="82"/>
      <c r="E2" s="82"/>
      <c r="F2" s="83"/>
      <c r="G2" s="5" t="s">
        <v>21</v>
      </c>
      <c r="H2" s="5" t="s">
        <v>23</v>
      </c>
    </row>
    <row r="3" spans="1:8">
      <c r="A3" s="84" t="s">
        <v>34</v>
      </c>
      <c r="B3" s="87"/>
      <c r="C3" s="87"/>
      <c r="D3" s="87"/>
      <c r="E3" s="87"/>
      <c r="F3" s="88"/>
      <c r="G3" s="13">
        <f>PISOS!I7</f>
        <v>1056.85888</v>
      </c>
      <c r="H3" s="11" t="s">
        <v>30</v>
      </c>
    </row>
    <row r="4" spans="1:8">
      <c r="A4" s="84" t="s">
        <v>35</v>
      </c>
      <c r="B4" s="87"/>
      <c r="C4" s="87"/>
      <c r="D4" s="87"/>
      <c r="E4" s="87"/>
      <c r="F4" s="88"/>
      <c r="G4" s="13">
        <f>PISOS!N7</f>
        <v>23.072000000000003</v>
      </c>
      <c r="H4" s="11" t="s">
        <v>30</v>
      </c>
    </row>
    <row r="5" spans="1:8">
      <c r="A5" s="84" t="s">
        <v>36</v>
      </c>
      <c r="B5" s="87"/>
      <c r="C5" s="87"/>
      <c r="D5" s="87"/>
      <c r="E5" s="87"/>
      <c r="F5" s="88"/>
      <c r="G5" s="13">
        <f>PISOS!P7</f>
        <v>213.25440000000003</v>
      </c>
      <c r="H5" s="11" t="s">
        <v>30</v>
      </c>
    </row>
    <row r="6" spans="1:8">
      <c r="A6" s="84" t="s">
        <v>37</v>
      </c>
      <c r="B6" s="87"/>
      <c r="C6" s="87"/>
      <c r="D6" s="87"/>
      <c r="E6" s="87"/>
      <c r="F6" s="88"/>
      <c r="G6" s="13">
        <f>PISOS!S7</f>
        <v>820.53247999999996</v>
      </c>
      <c r="H6" s="11" t="s">
        <v>30</v>
      </c>
    </row>
    <row r="7" spans="1:8">
      <c r="A7" s="101" t="s">
        <v>72</v>
      </c>
      <c r="B7" s="101"/>
      <c r="C7" s="101"/>
      <c r="D7" s="101"/>
      <c r="E7" s="101"/>
      <c r="F7" s="101"/>
      <c r="G7" s="12">
        <f>G3*0.04</f>
        <v>42.274355200000002</v>
      </c>
      <c r="H7" s="11" t="s">
        <v>28</v>
      </c>
    </row>
    <row r="8" spans="1:8">
      <c r="A8" s="102" t="s">
        <v>73</v>
      </c>
      <c r="B8" s="102"/>
      <c r="C8" s="102"/>
      <c r="D8" s="102"/>
      <c r="E8" s="102"/>
      <c r="F8" s="102"/>
      <c r="G8" s="12">
        <f>G3*0.04</f>
        <v>42.274355200000002</v>
      </c>
      <c r="H8" s="11" t="s">
        <v>28</v>
      </c>
    </row>
    <row r="9" spans="1:8">
      <c r="A9" s="103" t="s">
        <v>102</v>
      </c>
      <c r="B9" s="102"/>
      <c r="C9" s="102"/>
      <c r="D9" s="102"/>
      <c r="E9" s="102"/>
      <c r="F9" s="102"/>
      <c r="G9" s="12">
        <f>G3</f>
        <v>1056.85888</v>
      </c>
      <c r="H9" s="11" t="s">
        <v>30</v>
      </c>
    </row>
  </sheetData>
  <mergeCells count="9">
    <mergeCell ref="A7:F7"/>
    <mergeCell ref="A8:F8"/>
    <mergeCell ref="A9:F9"/>
    <mergeCell ref="A1:H1"/>
    <mergeCell ref="A2:F2"/>
    <mergeCell ref="A3:F3"/>
    <mergeCell ref="A4:F4"/>
    <mergeCell ref="A5:F5"/>
    <mergeCell ref="A6:F6"/>
  </mergeCells>
  <pageMargins left="0.511811024" right="0.511811024" top="0.78740157499999996" bottom="0.78740157499999996" header="0.31496062000000002" footer="0.31496062000000002"/>
  <pageSetup paperSize="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J11" sqref="J11"/>
    </sheetView>
  </sheetViews>
  <sheetFormatPr defaultRowHeight="15"/>
  <cols>
    <col min="6" max="6" width="9.7109375" customWidth="1"/>
    <col min="7" max="7" width="9.85546875" style="18" customWidth="1"/>
    <col min="8" max="8" width="9.140625" style="10"/>
  </cols>
  <sheetData>
    <row r="1" spans="1:8" ht="19.5">
      <c r="A1" s="104" t="s">
        <v>38</v>
      </c>
      <c r="B1" s="104"/>
      <c r="C1" s="104"/>
      <c r="D1" s="104"/>
      <c r="E1" s="104"/>
      <c r="F1" s="104"/>
      <c r="G1" s="104"/>
      <c r="H1" s="104"/>
    </row>
    <row r="2" spans="1:8">
      <c r="A2" s="106"/>
      <c r="B2" s="106"/>
      <c r="C2" s="106"/>
      <c r="D2" s="106"/>
      <c r="E2" s="106"/>
      <c r="F2" s="106"/>
      <c r="G2" s="12" t="s">
        <v>21</v>
      </c>
      <c r="H2" s="11" t="s">
        <v>23</v>
      </c>
    </row>
    <row r="3" spans="1:8">
      <c r="A3" s="84" t="s">
        <v>50</v>
      </c>
      <c r="B3" s="87"/>
      <c r="C3" s="87"/>
      <c r="D3" s="87"/>
      <c r="E3" s="87"/>
      <c r="F3" s="88"/>
      <c r="G3" s="13">
        <v>0</v>
      </c>
      <c r="H3" s="19" t="s">
        <v>24</v>
      </c>
    </row>
    <row r="4" spans="1:8">
      <c r="A4" s="84" t="s">
        <v>51</v>
      </c>
      <c r="B4" s="87"/>
      <c r="C4" s="87"/>
      <c r="D4" s="87"/>
      <c r="E4" s="87"/>
      <c r="F4" s="88"/>
      <c r="G4" s="13">
        <v>3</v>
      </c>
      <c r="H4" s="11" t="s">
        <v>46</v>
      </c>
    </row>
    <row r="5" spans="1:8">
      <c r="A5" s="84" t="s">
        <v>63</v>
      </c>
      <c r="B5" s="87"/>
      <c r="C5" s="87"/>
      <c r="D5" s="87"/>
      <c r="E5" s="87"/>
      <c r="F5" s="88"/>
      <c r="G5" s="13">
        <v>0</v>
      </c>
      <c r="H5" s="32" t="s">
        <v>30</v>
      </c>
    </row>
    <row r="6" spans="1:8">
      <c r="A6" s="101" t="s">
        <v>52</v>
      </c>
      <c r="B6" s="101"/>
      <c r="C6" s="101"/>
      <c r="D6" s="101"/>
      <c r="E6" s="101"/>
      <c r="F6" s="101"/>
      <c r="G6" s="20">
        <f>((G3/3+G4*15)*G7)+G5</f>
        <v>4.5</v>
      </c>
      <c r="H6" s="33" t="s">
        <v>30</v>
      </c>
    </row>
    <row r="7" spans="1:8">
      <c r="A7" s="102" t="s">
        <v>49</v>
      </c>
      <c r="B7" s="102"/>
      <c r="C7" s="102"/>
      <c r="D7" s="102"/>
      <c r="E7" s="102"/>
      <c r="F7" s="102"/>
      <c r="G7" s="13">
        <v>0.1</v>
      </c>
      <c r="H7" s="11" t="s">
        <v>24</v>
      </c>
    </row>
    <row r="8" spans="1:8">
      <c r="A8" s="102" t="s">
        <v>48</v>
      </c>
      <c r="B8" s="102"/>
      <c r="C8" s="102"/>
      <c r="D8" s="102"/>
      <c r="E8" s="102"/>
      <c r="F8" s="102"/>
      <c r="G8" s="13">
        <v>3</v>
      </c>
      <c r="H8" s="11" t="s">
        <v>45</v>
      </c>
    </row>
    <row r="9" spans="1:8">
      <c r="A9" s="84" t="s">
        <v>64</v>
      </c>
      <c r="B9" s="87"/>
      <c r="C9" s="87"/>
      <c r="D9" s="87"/>
      <c r="E9" s="87"/>
      <c r="F9" s="88"/>
      <c r="G9" s="13">
        <v>0</v>
      </c>
      <c r="H9" s="32" t="s">
        <v>30</v>
      </c>
    </row>
    <row r="10" spans="1:8">
      <c r="A10" s="102" t="s">
        <v>39</v>
      </c>
      <c r="B10" s="102"/>
      <c r="C10" s="102"/>
      <c r="D10" s="102"/>
      <c r="E10" s="102"/>
      <c r="F10" s="102"/>
      <c r="G10" s="17">
        <f>(9.6*G8)+G9</f>
        <v>28.799999999999997</v>
      </c>
      <c r="H10" s="11" t="s">
        <v>30</v>
      </c>
    </row>
    <row r="11" spans="1:8">
      <c r="A11" s="84" t="s">
        <v>59</v>
      </c>
      <c r="B11" s="87"/>
      <c r="C11" s="87"/>
      <c r="D11" s="87"/>
      <c r="E11" s="87"/>
      <c r="F11" s="88"/>
      <c r="G11" s="13">
        <v>3</v>
      </c>
      <c r="H11" s="21" t="s">
        <v>46</v>
      </c>
    </row>
    <row r="12" spans="1:8">
      <c r="A12" s="89" t="s">
        <v>60</v>
      </c>
      <c r="B12" s="90"/>
      <c r="C12" s="90"/>
      <c r="D12" s="90"/>
      <c r="E12" s="90"/>
      <c r="F12" s="91"/>
      <c r="G12" s="20">
        <f>G11*2</f>
        <v>6</v>
      </c>
      <c r="H12" s="33" t="s">
        <v>30</v>
      </c>
    </row>
    <row r="13" spans="1:8">
      <c r="A13" s="89" t="s">
        <v>61</v>
      </c>
      <c r="B13" s="90"/>
      <c r="C13" s="90"/>
      <c r="D13" s="90"/>
      <c r="E13" s="90"/>
      <c r="F13" s="91"/>
      <c r="G13" s="20">
        <f>SUM(G10,G12)</f>
        <v>34.799999999999997</v>
      </c>
      <c r="H13" s="33" t="s">
        <v>30</v>
      </c>
    </row>
    <row r="14" spans="1:8">
      <c r="A14" s="102" t="s">
        <v>40</v>
      </c>
      <c r="B14" s="102"/>
      <c r="C14" s="102"/>
      <c r="D14" s="102"/>
      <c r="E14" s="102"/>
      <c r="F14" s="102"/>
      <c r="G14" s="30">
        <v>3</v>
      </c>
      <c r="H14" s="33" t="s">
        <v>46</v>
      </c>
    </row>
    <row r="15" spans="1:8">
      <c r="A15" s="102" t="s">
        <v>41</v>
      </c>
      <c r="B15" s="102"/>
      <c r="C15" s="102"/>
      <c r="D15" s="102"/>
      <c r="E15" s="102"/>
      <c r="F15" s="102"/>
      <c r="G15" s="30">
        <v>4</v>
      </c>
      <c r="H15" s="33" t="s">
        <v>46</v>
      </c>
    </row>
    <row r="16" spans="1:8">
      <c r="A16" s="105" t="s">
        <v>42</v>
      </c>
      <c r="B16" s="105"/>
      <c r="C16" s="105"/>
      <c r="D16" s="105"/>
      <c r="E16" s="105"/>
      <c r="F16" s="105"/>
      <c r="G16" s="30">
        <v>1</v>
      </c>
      <c r="H16" s="33" t="s">
        <v>46</v>
      </c>
    </row>
    <row r="17" spans="1:8">
      <c r="A17" s="102" t="s">
        <v>43</v>
      </c>
      <c r="B17" s="102"/>
      <c r="C17" s="102"/>
      <c r="D17" s="102"/>
      <c r="E17" s="102"/>
      <c r="F17" s="102"/>
      <c r="G17" s="30">
        <v>1</v>
      </c>
      <c r="H17" s="33" t="s">
        <v>45</v>
      </c>
    </row>
  </sheetData>
  <mergeCells count="17">
    <mergeCell ref="A1:H1"/>
    <mergeCell ref="A2:F2"/>
    <mergeCell ref="A10:F10"/>
    <mergeCell ref="A14:F14"/>
    <mergeCell ref="A15:F15"/>
    <mergeCell ref="A7:F7"/>
    <mergeCell ref="A8:F8"/>
    <mergeCell ref="A6:F6"/>
    <mergeCell ref="A3:F3"/>
    <mergeCell ref="A4:F4"/>
    <mergeCell ref="A11:F11"/>
    <mergeCell ref="A12:F12"/>
    <mergeCell ref="A13:F13"/>
    <mergeCell ref="A5:F5"/>
    <mergeCell ref="A9:F9"/>
    <mergeCell ref="A16:F16"/>
    <mergeCell ref="A17:F17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7"/>
  <sheetViews>
    <sheetView workbookViewId="0">
      <selection activeCell="Q3" sqref="Q3"/>
    </sheetView>
  </sheetViews>
  <sheetFormatPr defaultRowHeight="15"/>
  <cols>
    <col min="1" max="1" width="9" customWidth="1"/>
    <col min="2" max="2" width="10.42578125" customWidth="1"/>
    <col min="3" max="3" width="11" customWidth="1"/>
    <col min="4" max="4" width="12.42578125" bestFit="1" customWidth="1"/>
    <col min="5" max="5" width="10.85546875" customWidth="1"/>
    <col min="6" max="6" width="10.5703125" customWidth="1"/>
    <col min="7" max="7" width="9.140625" style="38"/>
  </cols>
  <sheetData>
    <row r="1" spans="1:18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4"/>
    </row>
    <row r="2" spans="1:18" ht="120">
      <c r="A2" s="2" t="s">
        <v>1</v>
      </c>
      <c r="B2" s="3" t="s">
        <v>68</v>
      </c>
      <c r="C2" s="3" t="s">
        <v>66</v>
      </c>
      <c r="D2" s="4" t="s">
        <v>67</v>
      </c>
      <c r="E2" s="4" t="s">
        <v>69</v>
      </c>
      <c r="F2" s="14" t="s">
        <v>47</v>
      </c>
      <c r="G2" s="36" t="s">
        <v>62</v>
      </c>
      <c r="H2" s="4" t="s">
        <v>65</v>
      </c>
      <c r="I2" s="16" t="s">
        <v>53</v>
      </c>
      <c r="J2" s="16" t="s">
        <v>58</v>
      </c>
      <c r="K2" s="16" t="s">
        <v>54</v>
      </c>
      <c r="L2" s="4" t="s">
        <v>55</v>
      </c>
      <c r="M2" s="4" t="s">
        <v>11</v>
      </c>
      <c r="N2" s="4" t="s">
        <v>56</v>
      </c>
      <c r="O2" s="4" t="s">
        <v>12</v>
      </c>
      <c r="P2" s="4" t="s">
        <v>13</v>
      </c>
      <c r="Q2" s="4" t="s">
        <v>57</v>
      </c>
      <c r="R2" s="4" t="s">
        <v>14</v>
      </c>
    </row>
    <row r="3" spans="1:18">
      <c r="A3" s="22" t="s">
        <v>3</v>
      </c>
      <c r="B3" s="23">
        <v>235.53</v>
      </c>
      <c r="C3" s="23">
        <f>'MEIO FIO'!B3*0.12</f>
        <v>28.382400000000001</v>
      </c>
      <c r="D3" s="24">
        <v>4</v>
      </c>
      <c r="E3" s="23">
        <v>474.2</v>
      </c>
      <c r="F3" s="25">
        <v>1</v>
      </c>
      <c r="G3" s="37">
        <f>0.57*F3</f>
        <v>0.56999999999999995</v>
      </c>
      <c r="H3" s="31">
        <f>E3-C3</f>
        <v>445.81759999999997</v>
      </c>
      <c r="I3" s="13">
        <v>2</v>
      </c>
      <c r="J3" s="13">
        <v>1</v>
      </c>
      <c r="K3" s="13">
        <v>6</v>
      </c>
      <c r="L3" s="13">
        <v>0</v>
      </c>
      <c r="M3" s="31">
        <f>((((2*(D3-I3*0.12)+1.2))+(J3*0.4+K3*1.56)*0.4)+L3)</f>
        <v>12.623999999999999</v>
      </c>
      <c r="N3" s="23">
        <v>0</v>
      </c>
      <c r="O3" s="31">
        <f>((B3-5.6*I3)*0.4)+N3+0.8*F3</f>
        <v>90.532000000000011</v>
      </c>
      <c r="P3" s="31">
        <f>SUM(M3,O3)</f>
        <v>103.15600000000001</v>
      </c>
      <c r="Q3" s="23">
        <v>0</v>
      </c>
      <c r="R3" s="29">
        <f>H3-P3+Q3</f>
        <v>342.66159999999996</v>
      </c>
    </row>
    <row r="4" spans="1:18">
      <c r="A4" s="22" t="s">
        <v>4</v>
      </c>
      <c r="B4" s="23">
        <v>59.74</v>
      </c>
      <c r="C4" s="23">
        <f>'MEIO FIO'!B4*0.12</f>
        <v>8.7959999999999994</v>
      </c>
      <c r="D4" s="24">
        <v>4.12</v>
      </c>
      <c r="E4" s="23">
        <v>136.88</v>
      </c>
      <c r="F4" s="25">
        <v>3</v>
      </c>
      <c r="G4" s="37">
        <f t="shared" ref="G4:G6" si="0">0.57*F4</f>
        <v>1.71</v>
      </c>
      <c r="H4" s="31">
        <f t="shared" ref="H4:H6" si="1">E4-G4</f>
        <v>135.16999999999999</v>
      </c>
      <c r="I4" s="13">
        <v>2</v>
      </c>
      <c r="J4" s="13">
        <v>3</v>
      </c>
      <c r="K4" s="13">
        <v>1</v>
      </c>
      <c r="L4" s="13">
        <v>0</v>
      </c>
      <c r="M4" s="31">
        <f t="shared" ref="M4:M6" si="2">((((2*(D4-I4*0.12)+1.2))+(J4*0.4+K4*1.56)*0.4)+L4)</f>
        <v>10.064</v>
      </c>
      <c r="N4" s="23">
        <v>0</v>
      </c>
      <c r="O4" s="31">
        <f>((B4-5.6*I4)*0.4)+N4+0.8*F4</f>
        <v>21.816000000000003</v>
      </c>
      <c r="P4" s="31">
        <f t="shared" ref="P4:P6" si="3">SUM(M4,O4)</f>
        <v>31.880000000000003</v>
      </c>
      <c r="Q4" s="23">
        <v>0</v>
      </c>
      <c r="R4" s="29">
        <f t="shared" ref="R4:R6" si="4">H4-P4+Q4</f>
        <v>103.28999999999999</v>
      </c>
    </row>
    <row r="5" spans="1:18">
      <c r="A5" s="22" t="s">
        <v>5</v>
      </c>
      <c r="B5" s="23">
        <v>203.37</v>
      </c>
      <c r="C5" s="23">
        <f>'MEIO FIO'!B5*0.12</f>
        <v>25.8216</v>
      </c>
      <c r="D5" s="24">
        <v>3.55</v>
      </c>
      <c r="E5" s="23">
        <v>358.52</v>
      </c>
      <c r="F5" s="25">
        <v>3</v>
      </c>
      <c r="G5" s="37">
        <f t="shared" si="0"/>
        <v>1.71</v>
      </c>
      <c r="H5" s="31">
        <f t="shared" si="1"/>
        <v>356.81</v>
      </c>
      <c r="I5" s="13">
        <v>2</v>
      </c>
      <c r="J5" s="13">
        <v>4</v>
      </c>
      <c r="K5" s="13">
        <v>0</v>
      </c>
      <c r="L5" s="13">
        <v>0</v>
      </c>
      <c r="M5" s="31">
        <f t="shared" si="2"/>
        <v>8.4599999999999991</v>
      </c>
      <c r="N5" s="23">
        <v>1.5</v>
      </c>
      <c r="O5" s="31">
        <f>((B5-5.6*I5)*0.4)+N5+0.8*F5</f>
        <v>80.768000000000015</v>
      </c>
      <c r="P5" s="31">
        <f t="shared" si="3"/>
        <v>89.228000000000009</v>
      </c>
      <c r="Q5" s="23">
        <v>0</v>
      </c>
      <c r="R5" s="29">
        <f t="shared" si="4"/>
        <v>267.58199999999999</v>
      </c>
    </row>
    <row r="6" spans="1:18">
      <c r="A6" s="22" t="s">
        <v>6</v>
      </c>
      <c r="B6" s="23">
        <v>74.28</v>
      </c>
      <c r="C6" s="23">
        <f>'MEIO FIO'!B6*0.12</f>
        <v>9.3827999999999996</v>
      </c>
      <c r="D6" s="24">
        <v>4</v>
      </c>
      <c r="E6" s="23">
        <v>138.72999999999999</v>
      </c>
      <c r="F6" s="25">
        <v>3</v>
      </c>
      <c r="G6" s="37">
        <f t="shared" si="0"/>
        <v>1.71</v>
      </c>
      <c r="H6" s="31">
        <f t="shared" si="1"/>
        <v>137.01999999999998</v>
      </c>
      <c r="I6" s="13">
        <v>2</v>
      </c>
      <c r="J6" s="13">
        <v>3</v>
      </c>
      <c r="K6" s="13">
        <v>0</v>
      </c>
      <c r="L6" s="13">
        <v>0</v>
      </c>
      <c r="M6" s="31">
        <f t="shared" si="2"/>
        <v>9.1999999999999993</v>
      </c>
      <c r="N6" s="23">
        <v>0</v>
      </c>
      <c r="O6" s="31">
        <f>((B6-5.6*I6)*0.4)+N6+0.8*F6</f>
        <v>27.631999999999998</v>
      </c>
      <c r="P6" s="31">
        <f t="shared" si="3"/>
        <v>36.831999999999994</v>
      </c>
      <c r="Q6" s="23">
        <v>0</v>
      </c>
      <c r="R6" s="29">
        <f t="shared" si="4"/>
        <v>100.18799999999999</v>
      </c>
    </row>
    <row r="7" spans="1:18">
      <c r="A7" s="28"/>
      <c r="B7" s="28"/>
      <c r="C7" s="28"/>
      <c r="D7" s="28"/>
      <c r="E7" s="23">
        <f t="shared" ref="E7:G7" si="5">SUM(E3:E6)</f>
        <v>1108.33</v>
      </c>
      <c r="F7" s="27"/>
      <c r="G7" s="37">
        <f t="shared" si="5"/>
        <v>5.6999999999999993</v>
      </c>
      <c r="H7" s="29">
        <f>SUM(H3:H6)</f>
        <v>1074.8175999999999</v>
      </c>
      <c r="I7" s="30"/>
      <c r="J7" s="30"/>
      <c r="K7" s="30"/>
      <c r="L7" s="30"/>
      <c r="M7" s="29">
        <f t="shared" ref="M7:P7" si="6">SUM(M3:M6)</f>
        <v>40.347999999999999</v>
      </c>
      <c r="N7" s="29"/>
      <c r="O7" s="29">
        <f t="shared" si="6"/>
        <v>220.74800000000005</v>
      </c>
      <c r="P7" s="29">
        <f t="shared" si="6"/>
        <v>261.096</v>
      </c>
      <c r="Q7" s="31"/>
      <c r="R7" s="29">
        <f>H7-P7</f>
        <v>813.72159999999985</v>
      </c>
    </row>
  </sheetData>
  <mergeCells count="1">
    <mergeCell ref="A1:R1"/>
  </mergeCells>
  <pageMargins left="0.511811024" right="0.511811024" top="0.78740157499999996" bottom="0.78740157499999996" header="0.31496062000000002" footer="0.31496062000000002"/>
  <pageSetup paperSize="100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PISOS</vt:lpstr>
      <vt:lpstr>MEIO FIO</vt:lpstr>
      <vt:lpstr>PAVIMENTAÇÃO</vt:lpstr>
      <vt:lpstr>DRENAGEM</vt:lpstr>
      <vt:lpstr>CALÇADA</vt:lpstr>
      <vt:lpstr>SINALIZAÇÃO</vt:lpstr>
      <vt:lpstr>PISO TÁTIL CÁLCULO POR ÁREAS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Enevaldo</cp:lastModifiedBy>
  <dcterms:created xsi:type="dcterms:W3CDTF">2018-01-17T12:38:50Z</dcterms:created>
  <dcterms:modified xsi:type="dcterms:W3CDTF">2018-08-17T18:11:12Z</dcterms:modified>
</cp:coreProperties>
</file>