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and\Dropbox\Leandro Rivelli\Projetos Diversos\Rimo\Grupo Maciel\Ararangua - SC\Informações do município\Serviço Funerário\"/>
    </mc:Choice>
  </mc:AlternateContent>
  <xr:revisionPtr revIDLastSave="0" documentId="13_ncr:1_{BD964A70-0132-4972-B7C8-FC42C897B093}" xr6:coauthVersionLast="47" xr6:coauthVersionMax="47" xr10:uidLastSave="{00000000-0000-0000-0000-000000000000}"/>
  <bookViews>
    <workbookView xWindow="-108" yWindow="-108" windowWidth="23256" windowHeight="12456" tabRatio="822" xr2:uid="{8D4CD1AC-82B6-462E-AECB-361AA06BD187}"/>
  </bookViews>
  <sheets>
    <sheet name="Projeção população" sheetId="2" r:id="rId1"/>
    <sheet name="Projeção Óbitos" sheetId="4" r:id="rId2"/>
    <sheet name="Receita e Margem de Contribuiçã" sheetId="5" r:id="rId3"/>
    <sheet name="Custo Variável Médio" sheetId="8" r:id="rId4"/>
    <sheet name="Custos Fixos" sheetId="7" r:id="rId5"/>
    <sheet name="Investimento Inicial" sheetId="10" r:id="rId6"/>
    <sheet name="Fluxo de Caixa e Indicadores" sheetId="9" r:id="rId7"/>
    <sheet name="SELIC" sheetId="12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7" l="1"/>
  <c r="F25" i="7"/>
  <c r="F22" i="7"/>
  <c r="J11" i="7"/>
  <c r="J10" i="7"/>
  <c r="Y52" i="5"/>
  <c r="X52" i="5"/>
  <c r="Y51" i="5"/>
  <c r="X51" i="5"/>
  <c r="Y50" i="5"/>
  <c r="X50" i="5"/>
  <c r="Y49" i="5"/>
  <c r="X49" i="5"/>
  <c r="Y48" i="5"/>
  <c r="X48" i="5"/>
  <c r="Y47" i="5"/>
  <c r="X47" i="5"/>
  <c r="Y46" i="5"/>
  <c r="X46" i="5"/>
  <c r="Y45" i="5"/>
  <c r="X45" i="5"/>
  <c r="Y44" i="5"/>
  <c r="X44" i="5"/>
  <c r="Y43" i="5"/>
  <c r="X43" i="5"/>
  <c r="Y42" i="5"/>
  <c r="X42" i="5"/>
  <c r="Y41" i="5"/>
  <c r="X41" i="5"/>
  <c r="Y40" i="5"/>
  <c r="X40" i="5"/>
  <c r="Y39" i="5"/>
  <c r="X39" i="5"/>
  <c r="Y38" i="5"/>
  <c r="X38" i="5"/>
  <c r="Y37" i="5"/>
  <c r="X37" i="5"/>
  <c r="Y36" i="5"/>
  <c r="X36" i="5"/>
  <c r="Y35" i="5"/>
  <c r="X35" i="5"/>
  <c r="Y34" i="5"/>
  <c r="X34" i="5"/>
  <c r="Y33" i="5"/>
  <c r="X33" i="5"/>
  <c r="Y32" i="5"/>
  <c r="X32" i="5"/>
  <c r="Y31" i="5"/>
  <c r="X31" i="5"/>
  <c r="Y30" i="5"/>
  <c r="X30" i="5"/>
  <c r="Y29" i="5"/>
  <c r="X29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Y16" i="5"/>
  <c r="X16" i="5"/>
  <c r="X14" i="5"/>
  <c r="M6" i="9"/>
  <c r="E2" i="12"/>
  <c r="C6" i="9" l="1"/>
  <c r="F6" i="9" s="1"/>
  <c r="C10" i="10"/>
  <c r="E6" i="9" l="1"/>
  <c r="D9" i="8"/>
  <c r="D10" i="8" l="1"/>
  <c r="D13" i="8" s="1"/>
  <c r="E8" i="5" s="1"/>
  <c r="F37" i="7"/>
  <c r="G41" i="7"/>
  <c r="J12" i="7" s="1"/>
  <c r="F36" i="7"/>
  <c r="D17" i="7"/>
  <c r="E17" i="7" s="1"/>
  <c r="E16" i="7"/>
  <c r="E11" i="7"/>
  <c r="D12" i="7"/>
  <c r="E12" i="7" s="1"/>
  <c r="F5" i="7"/>
  <c r="G5" i="7" s="1"/>
  <c r="E7" i="5"/>
  <c r="E6" i="5"/>
  <c r="B16" i="4"/>
  <c r="B17" i="4"/>
  <c r="B7" i="9" s="1"/>
  <c r="B18" i="4"/>
  <c r="B8" i="9" s="1"/>
  <c r="B19" i="4"/>
  <c r="B9" i="9" s="1"/>
  <c r="B20" i="4"/>
  <c r="B10" i="9" s="1"/>
  <c r="B21" i="4"/>
  <c r="B11" i="9" s="1"/>
  <c r="B22" i="4"/>
  <c r="B12" i="9" s="1"/>
  <c r="G37" i="7" l="1"/>
  <c r="B21" i="5"/>
  <c r="M21" i="5" s="1"/>
  <c r="B20" i="5"/>
  <c r="M20" i="5" s="1"/>
  <c r="B19" i="5"/>
  <c r="M19" i="5" s="1"/>
  <c r="B18" i="5"/>
  <c r="M18" i="5" s="1"/>
  <c r="B17" i="5"/>
  <c r="M17" i="5" s="1"/>
  <c r="B16" i="5"/>
  <c r="M16" i="5" s="1"/>
  <c r="F17" i="7"/>
  <c r="F18" i="7" s="1"/>
  <c r="F12" i="7"/>
  <c r="F13" i="7" s="1"/>
  <c r="E5" i="2"/>
  <c r="D11" i="4"/>
  <c r="I9" i="4" s="1"/>
  <c r="I5" i="4"/>
  <c r="I4" i="4"/>
  <c r="B44" i="4"/>
  <c r="B45" i="4"/>
  <c r="B46" i="4"/>
  <c r="B47" i="4"/>
  <c r="B48" i="4"/>
  <c r="B49" i="4"/>
  <c r="B50" i="4"/>
  <c r="B51" i="4"/>
  <c r="B52" i="4"/>
  <c r="B53" i="4"/>
  <c r="I3" i="4"/>
  <c r="J3" i="4"/>
  <c r="I6" i="4"/>
  <c r="I7" i="4"/>
  <c r="I8" i="4"/>
  <c r="I10" i="4"/>
  <c r="B3" i="4"/>
  <c r="C3" i="4"/>
  <c r="H3" i="4" s="1"/>
  <c r="B6" i="4"/>
  <c r="G6" i="4" s="1"/>
  <c r="B7" i="4"/>
  <c r="G7" i="4" s="1"/>
  <c r="B8" i="4"/>
  <c r="G8" i="4" s="1"/>
  <c r="B9" i="4"/>
  <c r="B10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E4" i="2"/>
  <c r="G30" i="7" l="1"/>
  <c r="J9" i="7"/>
  <c r="J13" i="7" s="1"/>
  <c r="B46" i="5"/>
  <c r="M46" i="5" s="1"/>
  <c r="B37" i="9"/>
  <c r="B52" i="5"/>
  <c r="M52" i="5" s="1"/>
  <c r="B43" i="9"/>
  <c r="B50" i="5"/>
  <c r="M50" i="5" s="1"/>
  <c r="B41" i="9"/>
  <c r="B47" i="5"/>
  <c r="M47" i="5" s="1"/>
  <c r="B38" i="9"/>
  <c r="B42" i="5"/>
  <c r="M42" i="5" s="1"/>
  <c r="B33" i="9"/>
  <c r="B45" i="5"/>
  <c r="M45" i="5" s="1"/>
  <c r="B36" i="9"/>
  <c r="B44" i="5"/>
  <c r="M44" i="5" s="1"/>
  <c r="B35" i="9"/>
  <c r="B51" i="5"/>
  <c r="M51" i="5" s="1"/>
  <c r="B42" i="9"/>
  <c r="B43" i="5"/>
  <c r="M43" i="5" s="1"/>
  <c r="B34" i="9"/>
  <c r="B49" i="5"/>
  <c r="M49" i="5" s="1"/>
  <c r="B40" i="9"/>
  <c r="B48" i="5"/>
  <c r="M48" i="5" s="1"/>
  <c r="B39" i="9"/>
  <c r="B31" i="9"/>
  <c r="B40" i="5"/>
  <c r="M40" i="5" s="1"/>
  <c r="B23" i="9"/>
  <c r="B32" i="5"/>
  <c r="M32" i="5" s="1"/>
  <c r="B15" i="9"/>
  <c r="B24" i="5"/>
  <c r="M24" i="5" s="1"/>
  <c r="B30" i="9"/>
  <c r="B39" i="5"/>
  <c r="M39" i="5" s="1"/>
  <c r="B22" i="9"/>
  <c r="B31" i="5"/>
  <c r="M31" i="5" s="1"/>
  <c r="B20" i="9"/>
  <c r="B29" i="5"/>
  <c r="M29" i="5" s="1"/>
  <c r="B19" i="9"/>
  <c r="B28" i="5"/>
  <c r="M28" i="5" s="1"/>
  <c r="B26" i="9"/>
  <c r="B35" i="5"/>
  <c r="M35" i="5" s="1"/>
  <c r="B18" i="9"/>
  <c r="B27" i="5"/>
  <c r="M27" i="5" s="1"/>
  <c r="G3" i="4"/>
  <c r="B5" i="9"/>
  <c r="B25" i="9"/>
  <c r="B34" i="5"/>
  <c r="M34" i="5" s="1"/>
  <c r="B17" i="9"/>
  <c r="B26" i="5"/>
  <c r="M26" i="5" s="1"/>
  <c r="B28" i="9"/>
  <c r="B37" i="5"/>
  <c r="M37" i="5" s="1"/>
  <c r="B27" i="9"/>
  <c r="B36" i="5"/>
  <c r="M36" i="5" s="1"/>
  <c r="B32" i="9"/>
  <c r="B41" i="5"/>
  <c r="M41" i="5" s="1"/>
  <c r="B24" i="9"/>
  <c r="B33" i="5"/>
  <c r="M33" i="5" s="1"/>
  <c r="B16" i="9"/>
  <c r="B25" i="5"/>
  <c r="M25" i="5" s="1"/>
  <c r="B14" i="9"/>
  <c r="B23" i="5"/>
  <c r="M23" i="5" s="1"/>
  <c r="B29" i="9"/>
  <c r="B38" i="5"/>
  <c r="M38" i="5" s="1"/>
  <c r="B21" i="9"/>
  <c r="B30" i="5"/>
  <c r="M30" i="5" s="1"/>
  <c r="B13" i="9"/>
  <c r="B22" i="5"/>
  <c r="M22" i="5" s="1"/>
  <c r="G43" i="7"/>
  <c r="E6" i="2"/>
  <c r="C19" i="2" s="1"/>
  <c r="C18" i="4" s="1"/>
  <c r="C14" i="4"/>
  <c r="B14" i="4"/>
  <c r="B14" i="5" s="1"/>
  <c r="M14" i="5" s="1"/>
  <c r="C32" i="2" l="1"/>
  <c r="C31" i="4" s="1"/>
  <c r="C38" i="2"/>
  <c r="C37" i="4" s="1"/>
  <c r="C33" i="2"/>
  <c r="C32" i="4" s="1"/>
  <c r="C44" i="2"/>
  <c r="C43" i="4" s="1"/>
  <c r="C50" i="2"/>
  <c r="C49" i="4" s="1"/>
  <c r="C22" i="2"/>
  <c r="C21" i="4" s="1"/>
  <c r="C53" i="2"/>
  <c r="C52" i="4" s="1"/>
  <c r="C14" i="2"/>
  <c r="C8" i="4" s="1"/>
  <c r="C24" i="2"/>
  <c r="C23" i="4" s="1"/>
  <c r="C31" i="2"/>
  <c r="C30" i="4" s="1"/>
  <c r="C30" i="2"/>
  <c r="C29" i="4" s="1"/>
  <c r="C12" i="2"/>
  <c r="C6" i="4" s="1"/>
  <c r="E6" i="4" s="1"/>
  <c r="J6" i="4" s="1"/>
  <c r="C40" i="2"/>
  <c r="C39" i="4" s="1"/>
  <c r="C46" i="2"/>
  <c r="C45" i="4" s="1"/>
  <c r="C48" i="2"/>
  <c r="C47" i="4" s="1"/>
  <c r="C43" i="2"/>
  <c r="C42" i="4" s="1"/>
  <c r="C20" i="2"/>
  <c r="C19" i="4" s="1"/>
  <c r="C15" i="2"/>
  <c r="C9" i="4" s="1"/>
  <c r="E9" i="4" s="1"/>
  <c r="C52" i="2"/>
  <c r="C51" i="4" s="1"/>
  <c r="C54" i="2"/>
  <c r="C53" i="4" s="1"/>
  <c r="C49" i="2"/>
  <c r="C48" i="4" s="1"/>
  <c r="C45" i="2"/>
  <c r="C44" i="4" s="1"/>
  <c r="C34" i="2"/>
  <c r="C33" i="4" s="1"/>
  <c r="C51" i="2"/>
  <c r="C50" i="4" s="1"/>
  <c r="C27" i="2"/>
  <c r="C26" i="4" s="1"/>
  <c r="C42" i="2"/>
  <c r="C41" i="4" s="1"/>
  <c r="C35" i="2"/>
  <c r="C34" i="4" s="1"/>
  <c r="C28" i="2"/>
  <c r="C27" i="4" s="1"/>
  <c r="C18" i="2"/>
  <c r="C17" i="4" s="1"/>
  <c r="C26" i="2"/>
  <c r="C25" i="4" s="1"/>
  <c r="C13" i="2"/>
  <c r="C7" i="4" s="1"/>
  <c r="E7" i="4" s="1"/>
  <c r="J7" i="4" s="1"/>
  <c r="C10" i="2"/>
  <c r="C4" i="4" s="1"/>
  <c r="E4" i="4" s="1"/>
  <c r="C29" i="2"/>
  <c r="C28" i="4" s="1"/>
  <c r="C11" i="2"/>
  <c r="C5" i="4" s="1"/>
  <c r="H5" i="4" s="1"/>
  <c r="C17" i="2"/>
  <c r="C16" i="4" s="1"/>
  <c r="C16" i="2"/>
  <c r="C10" i="4" s="1"/>
  <c r="E10" i="4" s="1"/>
  <c r="C21" i="2"/>
  <c r="C20" i="4" s="1"/>
  <c r="C23" i="2"/>
  <c r="C22" i="4" s="1"/>
  <c r="C25" i="2"/>
  <c r="C24" i="4" s="1"/>
  <c r="C37" i="2"/>
  <c r="C36" i="4" s="1"/>
  <c r="C36" i="2"/>
  <c r="C35" i="4" s="1"/>
  <c r="C39" i="2"/>
  <c r="C38" i="4" s="1"/>
  <c r="C41" i="2"/>
  <c r="C40" i="4" s="1"/>
  <c r="C47" i="2"/>
  <c r="C46" i="4" s="1"/>
  <c r="H6" i="4" l="1"/>
  <c r="H7" i="4"/>
  <c r="E5" i="4"/>
  <c r="J5" i="4" s="1"/>
  <c r="C11" i="4"/>
  <c r="H9" i="4" s="1"/>
  <c r="H4" i="4"/>
  <c r="E8" i="4"/>
  <c r="J8" i="4" s="1"/>
  <c r="H8" i="4"/>
  <c r="J4" i="4"/>
  <c r="E11" i="4" l="1"/>
  <c r="J9" i="4" s="1"/>
  <c r="J10" i="4" s="1"/>
  <c r="E12" i="4"/>
  <c r="D20" i="4" l="1"/>
  <c r="E20" i="4" s="1"/>
  <c r="D22" i="4"/>
  <c r="E22" i="4" s="1"/>
  <c r="D19" i="4"/>
  <c r="E19" i="4" s="1"/>
  <c r="D18" i="4"/>
  <c r="E18" i="4" s="1"/>
  <c r="D21" i="4"/>
  <c r="E21" i="4" s="1"/>
  <c r="D17" i="4"/>
  <c r="E17" i="4" s="1"/>
  <c r="D16" i="4"/>
  <c r="D44" i="4"/>
  <c r="E44" i="4" s="1"/>
  <c r="D33" i="4"/>
  <c r="E33" i="4" s="1"/>
  <c r="D46" i="4"/>
  <c r="E46" i="4" s="1"/>
  <c r="D41" i="4"/>
  <c r="E41" i="4" s="1"/>
  <c r="D29" i="4"/>
  <c r="E29" i="4" s="1"/>
  <c r="D48" i="4"/>
  <c r="E48" i="4" s="1"/>
  <c r="D24" i="4"/>
  <c r="E24" i="4" s="1"/>
  <c r="D26" i="4"/>
  <c r="E26" i="4" s="1"/>
  <c r="D43" i="4"/>
  <c r="E43" i="4" s="1"/>
  <c r="D36" i="4"/>
  <c r="E36" i="4" s="1"/>
  <c r="D51" i="4"/>
  <c r="E51" i="4" s="1"/>
  <c r="D32" i="4"/>
  <c r="E32" i="4" s="1"/>
  <c r="D28" i="4"/>
  <c r="E28" i="4" s="1"/>
  <c r="D50" i="4"/>
  <c r="E50" i="4" s="1"/>
  <c r="D23" i="4"/>
  <c r="E23" i="4" s="1"/>
  <c r="D31" i="4"/>
  <c r="E31" i="4" s="1"/>
  <c r="D27" i="4"/>
  <c r="E27" i="4" s="1"/>
  <c r="D40" i="4"/>
  <c r="E40" i="4" s="1"/>
  <c r="D25" i="4"/>
  <c r="E25" i="4" s="1"/>
  <c r="D35" i="4"/>
  <c r="E35" i="4" s="1"/>
  <c r="D39" i="4"/>
  <c r="E39" i="4" s="1"/>
  <c r="D34" i="4"/>
  <c r="E34" i="4" s="1"/>
  <c r="D45" i="4"/>
  <c r="E45" i="4" s="1"/>
  <c r="D37" i="4"/>
  <c r="E37" i="4" s="1"/>
  <c r="D52" i="4"/>
  <c r="E52" i="4" s="1"/>
  <c r="D30" i="4"/>
  <c r="E30" i="4" s="1"/>
  <c r="D49" i="4"/>
  <c r="E49" i="4" s="1"/>
  <c r="D42" i="4"/>
  <c r="E42" i="4" s="1"/>
  <c r="D53" i="4"/>
  <c r="E53" i="4" s="1"/>
  <c r="D38" i="4"/>
  <c r="E38" i="4" s="1"/>
  <c r="D47" i="4"/>
  <c r="E47" i="4" s="1"/>
  <c r="F37" i="4" l="1"/>
  <c r="G37" i="4" s="1"/>
  <c r="C36" i="5" s="1"/>
  <c r="N36" i="5" s="1"/>
  <c r="F31" i="4"/>
  <c r="G31" i="4" s="1"/>
  <c r="C30" i="5" s="1"/>
  <c r="N30" i="5" s="1"/>
  <c r="F26" i="4"/>
  <c r="G26" i="4"/>
  <c r="C25" i="5" s="1"/>
  <c r="N25" i="5" s="1"/>
  <c r="F17" i="4"/>
  <c r="G17" i="4"/>
  <c r="C16" i="5" s="1"/>
  <c r="N16" i="5" s="1"/>
  <c r="F44" i="4"/>
  <c r="G44" i="4" s="1"/>
  <c r="C43" i="5" s="1"/>
  <c r="N43" i="5" s="1"/>
  <c r="F21" i="4"/>
  <c r="G21" i="4" s="1"/>
  <c r="C20" i="5" s="1"/>
  <c r="N20" i="5" s="1"/>
  <c r="F47" i="4"/>
  <c r="G47" i="4"/>
  <c r="C46" i="5" s="1"/>
  <c r="N46" i="5" s="1"/>
  <c r="F38" i="4"/>
  <c r="G38" i="4"/>
  <c r="C37" i="5" s="1"/>
  <c r="N37" i="5" s="1"/>
  <c r="F28" i="4"/>
  <c r="G28" i="4" s="1"/>
  <c r="C27" i="5" s="1"/>
  <c r="N27" i="5" s="1"/>
  <c r="F18" i="4"/>
  <c r="G18" i="4"/>
  <c r="C17" i="5" s="1"/>
  <c r="N17" i="5" s="1"/>
  <c r="F52" i="4"/>
  <c r="G52" i="4" s="1"/>
  <c r="C51" i="5" s="1"/>
  <c r="N51" i="5" s="1"/>
  <c r="F45" i="4"/>
  <c r="G45" i="4" s="1"/>
  <c r="C44" i="5" s="1"/>
  <c r="N44" i="5" s="1"/>
  <c r="F48" i="4"/>
  <c r="G48" i="4" s="1"/>
  <c r="C47" i="5" s="1"/>
  <c r="N47" i="5" s="1"/>
  <c r="F35" i="4"/>
  <c r="G35" i="4" s="1"/>
  <c r="C34" i="5" s="1"/>
  <c r="N34" i="5" s="1"/>
  <c r="F19" i="4"/>
  <c r="G19" i="4" s="1"/>
  <c r="C18" i="5" s="1"/>
  <c r="N18" i="5" s="1"/>
  <c r="F27" i="4"/>
  <c r="G27" i="4" s="1"/>
  <c r="C26" i="5" s="1"/>
  <c r="N26" i="5" s="1"/>
  <c r="F24" i="4"/>
  <c r="G24" i="4"/>
  <c r="C23" i="5" s="1"/>
  <c r="N23" i="5" s="1"/>
  <c r="F34" i="4"/>
  <c r="G34" i="4" s="1"/>
  <c r="C33" i="5" s="1"/>
  <c r="N33" i="5" s="1"/>
  <c r="F53" i="4"/>
  <c r="G53" i="4" s="1"/>
  <c r="C52" i="5" s="1"/>
  <c r="N52" i="5" s="1"/>
  <c r="F29" i="4"/>
  <c r="G29" i="4" s="1"/>
  <c r="C28" i="5" s="1"/>
  <c r="N28" i="5" s="1"/>
  <c r="F32" i="4"/>
  <c r="G32" i="4"/>
  <c r="C31" i="5" s="1"/>
  <c r="N31" i="5" s="1"/>
  <c r="F49" i="4"/>
  <c r="G49" i="4"/>
  <c r="C48" i="5" s="1"/>
  <c r="N48" i="5" s="1"/>
  <c r="F25" i="4"/>
  <c r="G25" i="4" s="1"/>
  <c r="C24" i="5" s="1"/>
  <c r="N24" i="5" s="1"/>
  <c r="F51" i="4"/>
  <c r="G51" i="4" s="1"/>
  <c r="C50" i="5" s="1"/>
  <c r="N50" i="5" s="1"/>
  <c r="F46" i="4"/>
  <c r="G46" i="4" s="1"/>
  <c r="C45" i="5" s="1"/>
  <c r="N45" i="5" s="1"/>
  <c r="F22" i="4"/>
  <c r="G22" i="4"/>
  <c r="C21" i="5" s="1"/>
  <c r="N21" i="5" s="1"/>
  <c r="F43" i="4"/>
  <c r="G43" i="4" s="1"/>
  <c r="C42" i="5" s="1"/>
  <c r="N42" i="5" s="1"/>
  <c r="F23" i="4"/>
  <c r="G23" i="4" s="1"/>
  <c r="C22" i="5" s="1"/>
  <c r="N22" i="5" s="1"/>
  <c r="F50" i="4"/>
  <c r="G50" i="4" s="1"/>
  <c r="C49" i="5" s="1"/>
  <c r="N49" i="5" s="1"/>
  <c r="F39" i="4"/>
  <c r="G39" i="4" s="1"/>
  <c r="C38" i="5" s="1"/>
  <c r="N38" i="5" s="1"/>
  <c r="F42" i="4"/>
  <c r="G42" i="4" s="1"/>
  <c r="C41" i="5" s="1"/>
  <c r="N41" i="5" s="1"/>
  <c r="F41" i="4"/>
  <c r="G41" i="4"/>
  <c r="C40" i="5" s="1"/>
  <c r="N40" i="5" s="1"/>
  <c r="F30" i="4"/>
  <c r="G30" i="4"/>
  <c r="C29" i="5" s="1"/>
  <c r="N29" i="5" s="1"/>
  <c r="F40" i="4"/>
  <c r="G40" i="4" s="1"/>
  <c r="C39" i="5" s="1"/>
  <c r="N39" i="5" s="1"/>
  <c r="F36" i="4"/>
  <c r="G36" i="4" s="1"/>
  <c r="C35" i="5" s="1"/>
  <c r="N35" i="5" s="1"/>
  <c r="F33" i="4"/>
  <c r="G33" i="4" s="1"/>
  <c r="C32" i="5" s="1"/>
  <c r="N32" i="5" s="1"/>
  <c r="F20" i="4"/>
  <c r="G20" i="4" s="1"/>
  <c r="C19" i="5" s="1"/>
  <c r="N19" i="5" s="1"/>
  <c r="T41" i="5" l="1"/>
  <c r="AE41" i="5"/>
  <c r="AA41" i="5"/>
  <c r="H41" i="5"/>
  <c r="O41" i="5"/>
  <c r="I41" i="5"/>
  <c r="D41" i="5"/>
  <c r="Z41" i="5"/>
  <c r="P41" i="5"/>
  <c r="E41" i="5"/>
  <c r="T26" i="5"/>
  <c r="AE26" i="5"/>
  <c r="AA26" i="5"/>
  <c r="I26" i="5"/>
  <c r="D26" i="5"/>
  <c r="P26" i="5"/>
  <c r="E26" i="5"/>
  <c r="O26" i="5"/>
  <c r="H26" i="5"/>
  <c r="Z26" i="5"/>
  <c r="T43" i="5"/>
  <c r="AE43" i="5"/>
  <c r="AA43" i="5"/>
  <c r="Z43" i="5"/>
  <c r="H43" i="5"/>
  <c r="I43" i="5"/>
  <c r="D43" i="5"/>
  <c r="O43" i="5"/>
  <c r="P43" i="5"/>
  <c r="E43" i="5"/>
  <c r="T18" i="5"/>
  <c r="AE18" i="5"/>
  <c r="AA18" i="5"/>
  <c r="I18" i="5"/>
  <c r="P18" i="5"/>
  <c r="D18" i="5"/>
  <c r="O18" i="5"/>
  <c r="E18" i="5"/>
  <c r="Z18" i="5"/>
  <c r="H18" i="5"/>
  <c r="T27" i="5"/>
  <c r="AE27" i="5"/>
  <c r="AA27" i="5"/>
  <c r="Z27" i="5"/>
  <c r="H27" i="5"/>
  <c r="O27" i="5"/>
  <c r="Q27" i="5" s="1"/>
  <c r="R27" i="5" s="1"/>
  <c r="I27" i="5"/>
  <c r="D27" i="5"/>
  <c r="P27" i="5"/>
  <c r="E27" i="5"/>
  <c r="T35" i="5"/>
  <c r="AA35" i="5"/>
  <c r="AE35" i="5"/>
  <c r="Z35" i="5"/>
  <c r="I35" i="5"/>
  <c r="D35" i="5"/>
  <c r="P35" i="5"/>
  <c r="E35" i="5"/>
  <c r="O35" i="5"/>
  <c r="H35" i="5"/>
  <c r="T34" i="5"/>
  <c r="AE34" i="5"/>
  <c r="AA34" i="5"/>
  <c r="O34" i="5"/>
  <c r="H34" i="5"/>
  <c r="Z34" i="5"/>
  <c r="I34" i="5"/>
  <c r="D34" i="5"/>
  <c r="P34" i="5"/>
  <c r="E34" i="5"/>
  <c r="T28" i="5"/>
  <c r="AA28" i="5"/>
  <c r="AE28" i="5"/>
  <c r="E28" i="5"/>
  <c r="Z28" i="5"/>
  <c r="D28" i="5"/>
  <c r="I28" i="5"/>
  <c r="P28" i="5"/>
  <c r="H28" i="5"/>
  <c r="O28" i="5"/>
  <c r="T42" i="5"/>
  <c r="AE42" i="5"/>
  <c r="AA42" i="5"/>
  <c r="I42" i="5"/>
  <c r="P42" i="5"/>
  <c r="D42" i="5"/>
  <c r="E42" i="5"/>
  <c r="H42" i="5"/>
  <c r="Z42" i="5"/>
  <c r="O42" i="5"/>
  <c r="T50" i="5"/>
  <c r="AA50" i="5"/>
  <c r="AE50" i="5"/>
  <c r="I50" i="5"/>
  <c r="D50" i="5"/>
  <c r="Z50" i="5"/>
  <c r="P50" i="5"/>
  <c r="O50" i="5"/>
  <c r="H50" i="5"/>
  <c r="E50" i="5"/>
  <c r="T52" i="5"/>
  <c r="AA52" i="5"/>
  <c r="AE52" i="5"/>
  <c r="D52" i="5"/>
  <c r="E52" i="5"/>
  <c r="I52" i="5"/>
  <c r="Z52" i="5"/>
  <c r="O52" i="5"/>
  <c r="P52" i="5"/>
  <c r="H52" i="5"/>
  <c r="T19" i="5"/>
  <c r="AA19" i="5"/>
  <c r="AE19" i="5"/>
  <c r="I19" i="5"/>
  <c r="D19" i="5"/>
  <c r="P19" i="5"/>
  <c r="E19" i="5"/>
  <c r="Z19" i="5"/>
  <c r="O19" i="5"/>
  <c r="H19" i="5"/>
  <c r="T33" i="5"/>
  <c r="AE33" i="5"/>
  <c r="AA33" i="5"/>
  <c r="I33" i="5"/>
  <c r="D33" i="5"/>
  <c r="P33" i="5"/>
  <c r="E33" i="5"/>
  <c r="O33" i="5"/>
  <c r="H33" i="5"/>
  <c r="Z33" i="5"/>
  <c r="T44" i="5"/>
  <c r="AA44" i="5"/>
  <c r="AE44" i="5"/>
  <c r="D44" i="5"/>
  <c r="E44" i="5"/>
  <c r="I44" i="5"/>
  <c r="O44" i="5"/>
  <c r="H44" i="5"/>
  <c r="P44" i="5"/>
  <c r="Z44" i="5"/>
  <c r="AB44" i="5" s="1"/>
  <c r="AC44" i="5" s="1"/>
  <c r="T51" i="5"/>
  <c r="AE51" i="5"/>
  <c r="AA51" i="5"/>
  <c r="I51" i="5"/>
  <c r="D51" i="5"/>
  <c r="Z51" i="5"/>
  <c r="P51" i="5"/>
  <c r="E51" i="5"/>
  <c r="O51" i="5"/>
  <c r="H51" i="5"/>
  <c r="T20" i="5"/>
  <c r="AA20" i="5"/>
  <c r="AE20" i="5"/>
  <c r="O20" i="5"/>
  <c r="H20" i="5"/>
  <c r="Z20" i="5"/>
  <c r="I20" i="5"/>
  <c r="D20" i="5"/>
  <c r="P20" i="5"/>
  <c r="E20" i="5"/>
  <c r="T36" i="5"/>
  <c r="AA36" i="5"/>
  <c r="AE36" i="5"/>
  <c r="Z36" i="5"/>
  <c r="H36" i="5"/>
  <c r="I36" i="5"/>
  <c r="P36" i="5"/>
  <c r="D36" i="5"/>
  <c r="E36" i="5"/>
  <c r="O36" i="5"/>
  <c r="T40" i="5"/>
  <c r="AE40" i="5"/>
  <c r="AA40" i="5"/>
  <c r="D40" i="5"/>
  <c r="Z40" i="5"/>
  <c r="E40" i="5"/>
  <c r="I40" i="5"/>
  <c r="P40" i="5"/>
  <c r="O40" i="5"/>
  <c r="H40" i="5"/>
  <c r="T24" i="5"/>
  <c r="AE24" i="5"/>
  <c r="AA24" i="5"/>
  <c r="I24" i="5"/>
  <c r="P24" i="5"/>
  <c r="H24" i="5"/>
  <c r="D24" i="5"/>
  <c r="E24" i="5"/>
  <c r="O24" i="5"/>
  <c r="Z24" i="5"/>
  <c r="T25" i="5"/>
  <c r="AE25" i="5"/>
  <c r="AA25" i="5"/>
  <c r="Z25" i="5"/>
  <c r="I25" i="5"/>
  <c r="D25" i="5"/>
  <c r="P25" i="5"/>
  <c r="H25" i="5"/>
  <c r="E25" i="5"/>
  <c r="O25" i="5"/>
  <c r="T16" i="5"/>
  <c r="AE16" i="5"/>
  <c r="AA16" i="5"/>
  <c r="O16" i="5"/>
  <c r="I16" i="5"/>
  <c r="P16" i="5"/>
  <c r="D16" i="5"/>
  <c r="H16" i="5"/>
  <c r="Z16" i="5"/>
  <c r="E16" i="5"/>
  <c r="T46" i="5"/>
  <c r="AA46" i="5"/>
  <c r="AE46" i="5"/>
  <c r="I46" i="5"/>
  <c r="P46" i="5"/>
  <c r="D46" i="5"/>
  <c r="O46" i="5"/>
  <c r="Z46" i="5"/>
  <c r="E46" i="5"/>
  <c r="H46" i="5"/>
  <c r="T22" i="5"/>
  <c r="AA22" i="5"/>
  <c r="AE22" i="5"/>
  <c r="I22" i="5"/>
  <c r="P22" i="5"/>
  <c r="O22" i="5"/>
  <c r="D22" i="5"/>
  <c r="E22" i="5"/>
  <c r="Z22" i="5"/>
  <c r="H22" i="5"/>
  <c r="T38" i="5"/>
  <c r="AA38" i="5"/>
  <c r="AE38" i="5"/>
  <c r="D38" i="5"/>
  <c r="E38" i="5"/>
  <c r="I38" i="5"/>
  <c r="Z38" i="5"/>
  <c r="P38" i="5"/>
  <c r="H38" i="5"/>
  <c r="O38" i="5"/>
  <c r="T21" i="5"/>
  <c r="AA21" i="5"/>
  <c r="AE21" i="5"/>
  <c r="Z21" i="5"/>
  <c r="I21" i="5"/>
  <c r="P21" i="5"/>
  <c r="O21" i="5"/>
  <c r="H21" i="5"/>
  <c r="D21" i="5"/>
  <c r="E21" i="5"/>
  <c r="T30" i="5"/>
  <c r="AA30" i="5"/>
  <c r="AE30" i="5"/>
  <c r="O30" i="5"/>
  <c r="H30" i="5"/>
  <c r="D30" i="5"/>
  <c r="E30" i="5"/>
  <c r="Z30" i="5"/>
  <c r="I30" i="5"/>
  <c r="P30" i="5"/>
  <c r="T32" i="5"/>
  <c r="AE32" i="5"/>
  <c r="AA32" i="5"/>
  <c r="H32" i="5"/>
  <c r="Z32" i="5"/>
  <c r="D32" i="5"/>
  <c r="O32" i="5"/>
  <c r="I32" i="5"/>
  <c r="E32" i="5"/>
  <c r="P32" i="5"/>
  <c r="T48" i="5"/>
  <c r="AE48" i="5"/>
  <c r="AA48" i="5"/>
  <c r="I48" i="5"/>
  <c r="O48" i="5"/>
  <c r="P48" i="5"/>
  <c r="D48" i="5"/>
  <c r="H48" i="5"/>
  <c r="E48" i="5"/>
  <c r="Z48" i="5"/>
  <c r="T17" i="5"/>
  <c r="AE17" i="5"/>
  <c r="AA17" i="5"/>
  <c r="Z17" i="5"/>
  <c r="I17" i="5"/>
  <c r="D17" i="5"/>
  <c r="O17" i="5"/>
  <c r="H17" i="5"/>
  <c r="P17" i="5"/>
  <c r="E17" i="5"/>
  <c r="T29" i="5"/>
  <c r="AA29" i="5"/>
  <c r="AE29" i="5"/>
  <c r="I29" i="5"/>
  <c r="O29" i="5"/>
  <c r="P29" i="5"/>
  <c r="D29" i="5"/>
  <c r="H29" i="5"/>
  <c r="E29" i="5"/>
  <c r="Z29" i="5"/>
  <c r="T45" i="5"/>
  <c r="AA45" i="5"/>
  <c r="AE45" i="5"/>
  <c r="O45" i="5"/>
  <c r="I45" i="5"/>
  <c r="D45" i="5"/>
  <c r="P45" i="5"/>
  <c r="E45" i="5"/>
  <c r="Z45" i="5"/>
  <c r="H45" i="5"/>
  <c r="T31" i="5"/>
  <c r="AA31" i="5"/>
  <c r="AE31" i="5"/>
  <c r="D31" i="5"/>
  <c r="I31" i="5"/>
  <c r="H31" i="5"/>
  <c r="P31" i="5"/>
  <c r="Z31" i="5"/>
  <c r="O31" i="5"/>
  <c r="E31" i="5"/>
  <c r="T47" i="5"/>
  <c r="AE47" i="5"/>
  <c r="AA47" i="5"/>
  <c r="I47" i="5"/>
  <c r="P47" i="5"/>
  <c r="H47" i="5"/>
  <c r="D47" i="5"/>
  <c r="O47" i="5"/>
  <c r="E47" i="5"/>
  <c r="Z47" i="5"/>
  <c r="T37" i="5"/>
  <c r="AA37" i="5"/>
  <c r="AE37" i="5"/>
  <c r="H37" i="5"/>
  <c r="O37" i="5"/>
  <c r="D37" i="5"/>
  <c r="E37" i="5"/>
  <c r="I37" i="5"/>
  <c r="Z37" i="5"/>
  <c r="P37" i="5"/>
  <c r="T39" i="5"/>
  <c r="AA39" i="5"/>
  <c r="AE39" i="5"/>
  <c r="D39" i="5"/>
  <c r="E39" i="5"/>
  <c r="I39" i="5"/>
  <c r="Z39" i="5"/>
  <c r="P39" i="5"/>
  <c r="O39" i="5"/>
  <c r="H39" i="5"/>
  <c r="T49" i="5"/>
  <c r="AE49" i="5"/>
  <c r="AA49" i="5"/>
  <c r="O49" i="5"/>
  <c r="I49" i="5"/>
  <c r="D49" i="5"/>
  <c r="P49" i="5"/>
  <c r="E49" i="5"/>
  <c r="Z49" i="5"/>
  <c r="H49" i="5"/>
  <c r="T23" i="5"/>
  <c r="AA23" i="5"/>
  <c r="AE23" i="5"/>
  <c r="D23" i="5"/>
  <c r="E23" i="5"/>
  <c r="H23" i="5"/>
  <c r="I23" i="5"/>
  <c r="P23" i="5"/>
  <c r="O23" i="5"/>
  <c r="Z23" i="5"/>
  <c r="AB23" i="5" s="1"/>
  <c r="AC23" i="5" s="1"/>
  <c r="AB35" i="5" l="1"/>
  <c r="AC35" i="5" s="1"/>
  <c r="Q47" i="5"/>
  <c r="R47" i="5" s="1"/>
  <c r="Q45" i="5"/>
  <c r="R45" i="5" s="1"/>
  <c r="Q25" i="5"/>
  <c r="R25" i="5" s="1"/>
  <c r="AB50" i="5"/>
  <c r="AC50" i="5" s="1"/>
  <c r="Q34" i="5"/>
  <c r="R34" i="5" s="1"/>
  <c r="AB18" i="5"/>
  <c r="AC18" i="5" s="1"/>
  <c r="Q35" i="5"/>
  <c r="R35" i="5" s="1"/>
  <c r="AB49" i="5"/>
  <c r="AC49" i="5" s="1"/>
  <c r="Q37" i="5"/>
  <c r="R37" i="5" s="1"/>
  <c r="Q17" i="5"/>
  <c r="R17" i="5" s="1"/>
  <c r="AB48" i="5"/>
  <c r="AC48" i="5" s="1"/>
  <c r="Q18" i="5"/>
  <c r="R18" i="5" s="1"/>
  <c r="AB36" i="5"/>
  <c r="AC36" i="5" s="1"/>
  <c r="AB27" i="5"/>
  <c r="AC27" i="5" s="1"/>
  <c r="Q19" i="5"/>
  <c r="R19" i="5" s="1"/>
  <c r="Q30" i="5"/>
  <c r="R30" i="5" s="1"/>
  <c r="Q24" i="5"/>
  <c r="R24" i="5" s="1"/>
  <c r="AB25" i="5"/>
  <c r="AC25" i="5" s="1"/>
  <c r="Q31" i="5"/>
  <c r="R31" i="5" s="1"/>
  <c r="AB21" i="5"/>
  <c r="AC21" i="5" s="1"/>
  <c r="AB29" i="5"/>
  <c r="AC29" i="5" s="1"/>
  <c r="Q39" i="5"/>
  <c r="R39" i="5" s="1"/>
  <c r="F46" i="5"/>
  <c r="G46" i="5" s="1"/>
  <c r="F37" i="5"/>
  <c r="G37" i="5" s="1"/>
  <c r="F30" i="5"/>
  <c r="G30" i="5" s="1"/>
  <c r="F36" i="5"/>
  <c r="G36" i="5" s="1"/>
  <c r="F52" i="5"/>
  <c r="G52" i="5" s="1"/>
  <c r="F35" i="5"/>
  <c r="G35" i="5" s="1"/>
  <c r="F27" i="5"/>
  <c r="G27" i="5" s="1"/>
  <c r="F50" i="5"/>
  <c r="G50" i="5" s="1"/>
  <c r="F39" i="5"/>
  <c r="G39" i="5" s="1"/>
  <c r="F47" i="5"/>
  <c r="G47" i="5" s="1"/>
  <c r="AB41" i="5"/>
  <c r="AC41" i="5" s="1"/>
  <c r="Q41" i="5"/>
  <c r="R41" i="5" s="1"/>
  <c r="Q50" i="5"/>
  <c r="R50" i="5" s="1"/>
  <c r="F16" i="5"/>
  <c r="G16" i="5" s="1"/>
  <c r="F26" i="5"/>
  <c r="G26" i="5" s="1"/>
  <c r="F17" i="5"/>
  <c r="G17" i="5" s="1"/>
  <c r="F41" i="5"/>
  <c r="G41" i="5" s="1"/>
  <c r="F28" i="5"/>
  <c r="G28" i="5" s="1"/>
  <c r="Q29" i="5"/>
  <c r="R29" i="5" s="1"/>
  <c r="Q21" i="5"/>
  <c r="R21" i="5" s="1"/>
  <c r="AB40" i="5"/>
  <c r="AC40" i="5" s="1"/>
  <c r="F40" i="5"/>
  <c r="G40" i="5" s="1"/>
  <c r="AB31" i="5"/>
  <c r="AC31" i="5" s="1"/>
  <c r="F20" i="5"/>
  <c r="G20" i="5" s="1"/>
  <c r="AB38" i="5"/>
  <c r="AC38" i="5" s="1"/>
  <c r="Q52" i="5"/>
  <c r="R52" i="5" s="1"/>
  <c r="AB37" i="5"/>
  <c r="AC37" i="5" s="1"/>
  <c r="Q48" i="5"/>
  <c r="R48" i="5" s="1"/>
  <c r="F22" i="5"/>
  <c r="G22" i="5" s="1"/>
  <c r="F24" i="5"/>
  <c r="G24" i="5" s="1"/>
  <c r="Q40" i="5"/>
  <c r="R40" i="5" s="1"/>
  <c r="AB19" i="5"/>
  <c r="AC19" i="5" s="1"/>
  <c r="J45" i="5"/>
  <c r="S45" i="5"/>
  <c r="J49" i="5"/>
  <c r="S49" i="5"/>
  <c r="J17" i="5"/>
  <c r="S17" i="5"/>
  <c r="J32" i="5"/>
  <c r="S32" i="5"/>
  <c r="J21" i="5"/>
  <c r="S21" i="5"/>
  <c r="Q38" i="5"/>
  <c r="R38" i="5" s="1"/>
  <c r="S16" i="5"/>
  <c r="J16" i="5"/>
  <c r="Q33" i="5"/>
  <c r="R33" i="5" s="1"/>
  <c r="J19" i="5"/>
  <c r="S19" i="5"/>
  <c r="J42" i="5"/>
  <c r="S42" i="5"/>
  <c r="Q28" i="5"/>
  <c r="R28" i="5" s="1"/>
  <c r="S18" i="5"/>
  <c r="J18" i="5"/>
  <c r="AB43" i="5"/>
  <c r="AC43" i="5" s="1"/>
  <c r="F44" i="5"/>
  <c r="G44" i="5" s="1"/>
  <c r="S52" i="5"/>
  <c r="J52" i="5"/>
  <c r="F42" i="5"/>
  <c r="G42" i="5" s="1"/>
  <c r="J38" i="5"/>
  <c r="S38" i="5"/>
  <c r="S39" i="5"/>
  <c r="J39" i="5"/>
  <c r="AB24" i="5"/>
  <c r="AC24" i="5" s="1"/>
  <c r="J51" i="5"/>
  <c r="S51" i="5"/>
  <c r="S36" i="5"/>
  <c r="J36" i="5"/>
  <c r="Q51" i="5"/>
  <c r="R51" i="5" s="1"/>
  <c r="F33" i="5"/>
  <c r="G33" i="5" s="1"/>
  <c r="J27" i="5"/>
  <c r="S27" i="5"/>
  <c r="S30" i="5"/>
  <c r="J30" i="5"/>
  <c r="J23" i="5"/>
  <c r="S23" i="5"/>
  <c r="J47" i="5"/>
  <c r="S47" i="5"/>
  <c r="S25" i="5"/>
  <c r="J25" i="5"/>
  <c r="AB22" i="5"/>
  <c r="AC22" i="5" s="1"/>
  <c r="F23" i="5"/>
  <c r="G23" i="5" s="1"/>
  <c r="F49" i="5"/>
  <c r="G49" i="5" s="1"/>
  <c r="J31" i="5"/>
  <c r="S31" i="5"/>
  <c r="AB17" i="5"/>
  <c r="AC17" i="5" s="1"/>
  <c r="S46" i="5"/>
  <c r="J46" i="5"/>
  <c r="Q16" i="5"/>
  <c r="R16" i="5" s="1"/>
  <c r="F25" i="5"/>
  <c r="G25" i="5" s="1"/>
  <c r="J40" i="5"/>
  <c r="S40" i="5"/>
  <c r="AB20" i="5"/>
  <c r="AC20" i="5" s="1"/>
  <c r="F34" i="5"/>
  <c r="G34" i="5" s="1"/>
  <c r="J35" i="5"/>
  <c r="K35" i="5" s="1"/>
  <c r="C26" i="9" s="1"/>
  <c r="D26" i="9" s="1"/>
  <c r="S35" i="5"/>
  <c r="F18" i="5"/>
  <c r="G18" i="5" s="1"/>
  <c r="Q43" i="5"/>
  <c r="R43" i="5" s="1"/>
  <c r="AB26" i="5"/>
  <c r="AC26" i="5" s="1"/>
  <c r="J41" i="5"/>
  <c r="S41" i="5"/>
  <c r="S37" i="5"/>
  <c r="J37" i="5"/>
  <c r="S22" i="5"/>
  <c r="J22" i="5"/>
  <c r="F48" i="5"/>
  <c r="G48" i="5" s="1"/>
  <c r="Q32" i="5"/>
  <c r="R32" i="5" s="1"/>
  <c r="S20" i="5"/>
  <c r="J20" i="5"/>
  <c r="F19" i="5"/>
  <c r="G19" i="5" s="1"/>
  <c r="AB52" i="5"/>
  <c r="AC52" i="5" s="1"/>
  <c r="S50" i="5"/>
  <c r="J50" i="5"/>
  <c r="AB28" i="5"/>
  <c r="AC28" i="5" s="1"/>
  <c r="F43" i="5"/>
  <c r="G43" i="5" s="1"/>
  <c r="S26" i="5"/>
  <c r="J26" i="5"/>
  <c r="J28" i="5"/>
  <c r="S28" i="5"/>
  <c r="AB39" i="5"/>
  <c r="AC39" i="5" s="1"/>
  <c r="Q49" i="5"/>
  <c r="R49" i="5" s="1"/>
  <c r="AB47" i="5"/>
  <c r="AC47" i="5" s="1"/>
  <c r="F31" i="5"/>
  <c r="G31" i="5" s="1"/>
  <c r="F45" i="5"/>
  <c r="G45" i="5" s="1"/>
  <c r="J29" i="5"/>
  <c r="S29" i="5"/>
  <c r="F32" i="5"/>
  <c r="G32" i="5" s="1"/>
  <c r="AB30" i="5"/>
  <c r="AC30" i="5" s="1"/>
  <c r="F38" i="5"/>
  <c r="G38" i="5" s="1"/>
  <c r="Q22" i="5"/>
  <c r="R22" i="5" s="1"/>
  <c r="AB46" i="5"/>
  <c r="AC46" i="5" s="1"/>
  <c r="J24" i="5"/>
  <c r="S24" i="5"/>
  <c r="Q36" i="5"/>
  <c r="R36" i="5" s="1"/>
  <c r="Q20" i="5"/>
  <c r="R20" i="5" s="1"/>
  <c r="AB51" i="5"/>
  <c r="AC51" i="5" s="1"/>
  <c r="S44" i="5"/>
  <c r="J44" i="5"/>
  <c r="AB33" i="5"/>
  <c r="AC33" i="5" s="1"/>
  <c r="Q42" i="5"/>
  <c r="R42" i="5" s="1"/>
  <c r="AB34" i="5"/>
  <c r="AC34" i="5" s="1"/>
  <c r="Q26" i="5"/>
  <c r="R26" i="5" s="1"/>
  <c r="J48" i="5"/>
  <c r="S48" i="5"/>
  <c r="AB45" i="5"/>
  <c r="AC45" i="5" s="1"/>
  <c r="Q23" i="5"/>
  <c r="R23" i="5" s="1"/>
  <c r="F29" i="5"/>
  <c r="G29" i="5" s="1"/>
  <c r="AB32" i="5"/>
  <c r="AC32" i="5" s="1"/>
  <c r="F21" i="5"/>
  <c r="G21" i="5" s="1"/>
  <c r="Q46" i="5"/>
  <c r="R46" i="5" s="1"/>
  <c r="AB16" i="5"/>
  <c r="AC16" i="5" s="1"/>
  <c r="F51" i="5"/>
  <c r="G51" i="5" s="1"/>
  <c r="Q44" i="5"/>
  <c r="R44" i="5" s="1"/>
  <c r="J33" i="5"/>
  <c r="S33" i="5"/>
  <c r="AB42" i="5"/>
  <c r="AC42" i="5" s="1"/>
  <c r="S34" i="5"/>
  <c r="J34" i="5"/>
  <c r="J43" i="5"/>
  <c r="S43" i="5"/>
  <c r="K50" i="5" l="1"/>
  <c r="C41" i="9" s="1"/>
  <c r="D41" i="9" s="1"/>
  <c r="K52" i="5"/>
  <c r="C43" i="9" s="1"/>
  <c r="D43" i="9" s="1"/>
  <c r="K46" i="5"/>
  <c r="C37" i="9" s="1"/>
  <c r="D37" i="9" s="1"/>
  <c r="K30" i="5"/>
  <c r="C21" i="9" s="1"/>
  <c r="D21" i="9" s="1"/>
  <c r="K27" i="5"/>
  <c r="C18" i="9" s="1"/>
  <c r="D18" i="9" s="1"/>
  <c r="K37" i="5"/>
  <c r="C28" i="9" s="1"/>
  <c r="D28" i="9" s="1"/>
  <c r="K39" i="5"/>
  <c r="C30" i="9" s="1"/>
  <c r="D30" i="9" s="1"/>
  <c r="K36" i="5"/>
  <c r="C27" i="9" s="1"/>
  <c r="D27" i="9" s="1"/>
  <c r="K31" i="5"/>
  <c r="C22" i="9" s="1"/>
  <c r="D22" i="9" s="1"/>
  <c r="K47" i="5"/>
  <c r="C38" i="9" s="1"/>
  <c r="D38" i="9" s="1"/>
  <c r="K41" i="5"/>
  <c r="C32" i="9" s="1"/>
  <c r="D32" i="9" s="1"/>
  <c r="K45" i="5"/>
  <c r="C36" i="9" s="1"/>
  <c r="D36" i="9" s="1"/>
  <c r="K28" i="5"/>
  <c r="C19" i="9" s="1"/>
  <c r="D19" i="9" s="1"/>
  <c r="K17" i="5"/>
  <c r="C8" i="9" s="1"/>
  <c r="D8" i="9" s="1"/>
  <c r="K16" i="5"/>
  <c r="C7" i="9" s="1"/>
  <c r="D7" i="9" s="1"/>
  <c r="K24" i="5"/>
  <c r="C15" i="9" s="1"/>
  <c r="D15" i="9" s="1"/>
  <c r="K20" i="5"/>
  <c r="C11" i="9" s="1"/>
  <c r="D11" i="9" s="1"/>
  <c r="K29" i="5"/>
  <c r="C20" i="9" s="1"/>
  <c r="D20" i="9" s="1"/>
  <c r="K40" i="5"/>
  <c r="C31" i="9" s="1"/>
  <c r="D31" i="9" s="1"/>
  <c r="K22" i="5"/>
  <c r="C13" i="9" s="1"/>
  <c r="D13" i="9" s="1"/>
  <c r="K48" i="5"/>
  <c r="C39" i="9" s="1"/>
  <c r="D39" i="9" s="1"/>
  <c r="K49" i="5"/>
  <c r="C40" i="9" s="1"/>
  <c r="D40" i="9" s="1"/>
  <c r="K26" i="5"/>
  <c r="C17" i="9" s="1"/>
  <c r="D17" i="9" s="1"/>
  <c r="K51" i="5"/>
  <c r="C42" i="9" s="1"/>
  <c r="D42" i="9" s="1"/>
  <c r="K21" i="5"/>
  <c r="C12" i="9" s="1"/>
  <c r="D12" i="9" s="1"/>
  <c r="K32" i="5"/>
  <c r="C23" i="9" s="1"/>
  <c r="D23" i="9" s="1"/>
  <c r="K18" i="5"/>
  <c r="C9" i="9" s="1"/>
  <c r="D9" i="9" s="1"/>
  <c r="K23" i="5"/>
  <c r="C14" i="9" s="1"/>
  <c r="D14" i="9" s="1"/>
  <c r="U50" i="5"/>
  <c r="V50" i="5" s="1"/>
  <c r="E41" i="9" s="1"/>
  <c r="AD50" i="5"/>
  <c r="AF50" i="5" s="1"/>
  <c r="AG50" i="5" s="1"/>
  <c r="F41" i="9" s="1"/>
  <c r="G41" i="9" s="1"/>
  <c r="U33" i="5"/>
  <c r="V33" i="5" s="1"/>
  <c r="E24" i="9" s="1"/>
  <c r="AD33" i="5"/>
  <c r="AF33" i="5" s="1"/>
  <c r="AG33" i="5" s="1"/>
  <c r="F24" i="9" s="1"/>
  <c r="G24" i="9" s="1"/>
  <c r="U43" i="5"/>
  <c r="V43" i="5" s="1"/>
  <c r="E34" i="9" s="1"/>
  <c r="AD43" i="5"/>
  <c r="AF43" i="5" s="1"/>
  <c r="AG43" i="5" s="1"/>
  <c r="F34" i="9" s="1"/>
  <c r="G34" i="9" s="1"/>
  <c r="U24" i="5"/>
  <c r="V24" i="5" s="1"/>
  <c r="E15" i="9" s="1"/>
  <c r="AD24" i="5"/>
  <c r="AF24" i="5" s="1"/>
  <c r="AG24" i="5" s="1"/>
  <c r="F15" i="9" s="1"/>
  <c r="G15" i="9" s="1"/>
  <c r="K42" i="5"/>
  <c r="C33" i="9" s="1"/>
  <c r="D33" i="9" s="1"/>
  <c r="U21" i="5"/>
  <c r="V21" i="5" s="1"/>
  <c r="E12" i="9" s="1"/>
  <c r="AD21" i="5"/>
  <c r="AF21" i="5" s="1"/>
  <c r="AG21" i="5" s="1"/>
  <c r="F12" i="9" s="1"/>
  <c r="G12" i="9" s="1"/>
  <c r="K34" i="5"/>
  <c r="C25" i="9" s="1"/>
  <c r="D25" i="9" s="1"/>
  <c r="K33" i="5"/>
  <c r="C24" i="9" s="1"/>
  <c r="D24" i="9" s="1"/>
  <c r="U41" i="5"/>
  <c r="V41" i="5" s="1"/>
  <c r="E32" i="9" s="1"/>
  <c r="AD41" i="5"/>
  <c r="AF41" i="5" s="1"/>
  <c r="AG41" i="5" s="1"/>
  <c r="F32" i="9" s="1"/>
  <c r="G32" i="9" s="1"/>
  <c r="U46" i="5"/>
  <c r="V46" i="5" s="1"/>
  <c r="E37" i="9" s="1"/>
  <c r="AD46" i="5"/>
  <c r="AF46" i="5" s="1"/>
  <c r="AG46" i="5" s="1"/>
  <c r="F37" i="9" s="1"/>
  <c r="G37" i="9" s="1"/>
  <c r="U52" i="5"/>
  <c r="V52" i="5" s="1"/>
  <c r="E43" i="9" s="1"/>
  <c r="AD52" i="5"/>
  <c r="AF52" i="5" s="1"/>
  <c r="AG52" i="5" s="1"/>
  <c r="F43" i="9" s="1"/>
  <c r="G43" i="9" s="1"/>
  <c r="U34" i="5"/>
  <c r="V34" i="5" s="1"/>
  <c r="E25" i="9" s="1"/>
  <c r="AD34" i="5"/>
  <c r="AF34" i="5" s="1"/>
  <c r="AG34" i="5" s="1"/>
  <c r="F25" i="9" s="1"/>
  <c r="G25" i="9" s="1"/>
  <c r="U39" i="5"/>
  <c r="V39" i="5" s="1"/>
  <c r="E30" i="9" s="1"/>
  <c r="AD39" i="5"/>
  <c r="AF39" i="5" s="1"/>
  <c r="AG39" i="5" s="1"/>
  <c r="F30" i="9" s="1"/>
  <c r="G30" i="9" s="1"/>
  <c r="K44" i="5"/>
  <c r="C35" i="9" s="1"/>
  <c r="D35" i="9" s="1"/>
  <c r="U32" i="5"/>
  <c r="V32" i="5" s="1"/>
  <c r="E23" i="9" s="1"/>
  <c r="AD32" i="5"/>
  <c r="AF32" i="5" s="1"/>
  <c r="AG32" i="5" s="1"/>
  <c r="F23" i="9" s="1"/>
  <c r="G23" i="9" s="1"/>
  <c r="U49" i="5"/>
  <c r="V49" i="5" s="1"/>
  <c r="E40" i="9" s="1"/>
  <c r="AD49" i="5"/>
  <c r="AF49" i="5" s="1"/>
  <c r="AG49" i="5" s="1"/>
  <c r="F40" i="9" s="1"/>
  <c r="G40" i="9" s="1"/>
  <c r="U30" i="5"/>
  <c r="V30" i="5" s="1"/>
  <c r="E21" i="9" s="1"/>
  <c r="AD30" i="5"/>
  <c r="AF30" i="5" s="1"/>
  <c r="AG30" i="5" s="1"/>
  <c r="F21" i="9" s="1"/>
  <c r="G21" i="9" s="1"/>
  <c r="U44" i="5"/>
  <c r="V44" i="5" s="1"/>
  <c r="E35" i="9" s="1"/>
  <c r="AD44" i="5"/>
  <c r="AF44" i="5" s="1"/>
  <c r="AG44" i="5" s="1"/>
  <c r="F35" i="9" s="1"/>
  <c r="G35" i="9" s="1"/>
  <c r="K38" i="5"/>
  <c r="C29" i="9" s="1"/>
  <c r="D29" i="9" s="1"/>
  <c r="K19" i="5"/>
  <c r="C10" i="9" s="1"/>
  <c r="D10" i="9" s="1"/>
  <c r="U31" i="5"/>
  <c r="V31" i="5" s="1"/>
  <c r="E22" i="9" s="1"/>
  <c r="AD31" i="5"/>
  <c r="AF31" i="5" s="1"/>
  <c r="AG31" i="5" s="1"/>
  <c r="F22" i="9" s="1"/>
  <c r="G22" i="9" s="1"/>
  <c r="U47" i="5"/>
  <c r="V47" i="5" s="1"/>
  <c r="E38" i="9" s="1"/>
  <c r="AD47" i="5"/>
  <c r="AF47" i="5" s="1"/>
  <c r="AG47" i="5" s="1"/>
  <c r="F38" i="9" s="1"/>
  <c r="G38" i="9" s="1"/>
  <c r="U36" i="5"/>
  <c r="V36" i="5" s="1"/>
  <c r="E27" i="9" s="1"/>
  <c r="AD36" i="5"/>
  <c r="AF36" i="5" s="1"/>
  <c r="AG36" i="5" s="1"/>
  <c r="F27" i="9" s="1"/>
  <c r="G27" i="9" s="1"/>
  <c r="U38" i="5"/>
  <c r="V38" i="5" s="1"/>
  <c r="E29" i="9" s="1"/>
  <c r="AD38" i="5"/>
  <c r="AF38" i="5" s="1"/>
  <c r="AG38" i="5" s="1"/>
  <c r="F29" i="9" s="1"/>
  <c r="G29" i="9" s="1"/>
  <c r="U42" i="5"/>
  <c r="V42" i="5" s="1"/>
  <c r="E33" i="9" s="1"/>
  <c r="AD42" i="5"/>
  <c r="AF42" i="5" s="1"/>
  <c r="AG42" i="5" s="1"/>
  <c r="F33" i="9" s="1"/>
  <c r="G33" i="9" s="1"/>
  <c r="U26" i="5"/>
  <c r="V26" i="5" s="1"/>
  <c r="E17" i="9" s="1"/>
  <c r="AD26" i="5"/>
  <c r="AF26" i="5" s="1"/>
  <c r="AG26" i="5" s="1"/>
  <c r="F17" i="9" s="1"/>
  <c r="G17" i="9" s="1"/>
  <c r="U22" i="5"/>
  <c r="V22" i="5" s="1"/>
  <c r="E13" i="9" s="1"/>
  <c r="AD22" i="5"/>
  <c r="AF22" i="5" s="1"/>
  <c r="AG22" i="5" s="1"/>
  <c r="F13" i="9" s="1"/>
  <c r="G13" i="9" s="1"/>
  <c r="U40" i="5"/>
  <c r="V40" i="5" s="1"/>
  <c r="E31" i="9" s="1"/>
  <c r="AD40" i="5"/>
  <c r="AF40" i="5" s="1"/>
  <c r="AG40" i="5" s="1"/>
  <c r="F31" i="9" s="1"/>
  <c r="G31" i="9" s="1"/>
  <c r="AD16" i="5"/>
  <c r="AF16" i="5" s="1"/>
  <c r="AG16" i="5" s="1"/>
  <c r="F7" i="9" s="1"/>
  <c r="U16" i="5"/>
  <c r="V16" i="5" s="1"/>
  <c r="E7" i="9" s="1"/>
  <c r="U17" i="5"/>
  <c r="V17" i="5" s="1"/>
  <c r="E8" i="9" s="1"/>
  <c r="AD17" i="5"/>
  <c r="AF17" i="5" s="1"/>
  <c r="AG17" i="5" s="1"/>
  <c r="F8" i="9" s="1"/>
  <c r="G8" i="9" s="1"/>
  <c r="U45" i="5"/>
  <c r="V45" i="5" s="1"/>
  <c r="E36" i="9" s="1"/>
  <c r="AD45" i="5"/>
  <c r="AF45" i="5" s="1"/>
  <c r="AG45" i="5" s="1"/>
  <c r="F36" i="9" s="1"/>
  <c r="G36" i="9" s="1"/>
  <c r="U25" i="5"/>
  <c r="V25" i="5" s="1"/>
  <c r="E16" i="9" s="1"/>
  <c r="AD25" i="5"/>
  <c r="AF25" i="5" s="1"/>
  <c r="AG25" i="5" s="1"/>
  <c r="F16" i="9" s="1"/>
  <c r="G16" i="9" s="1"/>
  <c r="K43" i="5"/>
  <c r="C34" i="9" s="1"/>
  <c r="D34" i="9" s="1"/>
  <c r="U20" i="5"/>
  <c r="V20" i="5" s="1"/>
  <c r="E11" i="9" s="1"/>
  <c r="AD20" i="5"/>
  <c r="AF20" i="5" s="1"/>
  <c r="AG20" i="5" s="1"/>
  <c r="F11" i="9" s="1"/>
  <c r="G11" i="9" s="1"/>
  <c r="U23" i="5"/>
  <c r="V23" i="5" s="1"/>
  <c r="E14" i="9" s="1"/>
  <c r="AD23" i="5"/>
  <c r="AF23" i="5" s="1"/>
  <c r="AG23" i="5" s="1"/>
  <c r="F14" i="9" s="1"/>
  <c r="G14" i="9" s="1"/>
  <c r="U51" i="5"/>
  <c r="V51" i="5" s="1"/>
  <c r="E42" i="9" s="1"/>
  <c r="AD51" i="5"/>
  <c r="AF51" i="5" s="1"/>
  <c r="AG51" i="5" s="1"/>
  <c r="F42" i="9" s="1"/>
  <c r="G42" i="9" s="1"/>
  <c r="U48" i="5"/>
  <c r="V48" i="5" s="1"/>
  <c r="E39" i="9" s="1"/>
  <c r="AD48" i="5"/>
  <c r="AF48" i="5" s="1"/>
  <c r="AG48" i="5" s="1"/>
  <c r="F39" i="9" s="1"/>
  <c r="G39" i="9" s="1"/>
  <c r="U29" i="5"/>
  <c r="V29" i="5" s="1"/>
  <c r="E20" i="9" s="1"/>
  <c r="AD29" i="5"/>
  <c r="AF29" i="5" s="1"/>
  <c r="AG29" i="5" s="1"/>
  <c r="F20" i="9" s="1"/>
  <c r="G20" i="9" s="1"/>
  <c r="U28" i="5"/>
  <c r="V28" i="5" s="1"/>
  <c r="E19" i="9" s="1"/>
  <c r="AD28" i="5"/>
  <c r="AF28" i="5" s="1"/>
  <c r="AG28" i="5" s="1"/>
  <c r="F19" i="9" s="1"/>
  <c r="G19" i="9" s="1"/>
  <c r="U37" i="5"/>
  <c r="V37" i="5" s="1"/>
  <c r="E28" i="9" s="1"/>
  <c r="AD37" i="5"/>
  <c r="AF37" i="5" s="1"/>
  <c r="AG37" i="5" s="1"/>
  <c r="F28" i="9" s="1"/>
  <c r="G28" i="9" s="1"/>
  <c r="U35" i="5"/>
  <c r="V35" i="5" s="1"/>
  <c r="E26" i="9" s="1"/>
  <c r="AD35" i="5"/>
  <c r="AF35" i="5" s="1"/>
  <c r="AG35" i="5" s="1"/>
  <c r="F26" i="9" s="1"/>
  <c r="G26" i="9" s="1"/>
  <c r="K25" i="5"/>
  <c r="C16" i="9" s="1"/>
  <c r="D16" i="9" s="1"/>
  <c r="U27" i="5"/>
  <c r="V27" i="5" s="1"/>
  <c r="E18" i="9" s="1"/>
  <c r="AD27" i="5"/>
  <c r="AF27" i="5" s="1"/>
  <c r="AG27" i="5" s="1"/>
  <c r="F18" i="9" s="1"/>
  <c r="G18" i="9" s="1"/>
  <c r="U18" i="5"/>
  <c r="V18" i="5" s="1"/>
  <c r="E9" i="9" s="1"/>
  <c r="AD18" i="5"/>
  <c r="AF18" i="5" s="1"/>
  <c r="AG18" i="5" s="1"/>
  <c r="F9" i="9" s="1"/>
  <c r="G9" i="9" s="1"/>
  <c r="U19" i="5"/>
  <c r="V19" i="5" s="1"/>
  <c r="E10" i="9" s="1"/>
  <c r="AD19" i="5"/>
  <c r="AF19" i="5" s="1"/>
  <c r="AG19" i="5" s="1"/>
  <c r="F10" i="9" s="1"/>
  <c r="G10" i="9" s="1"/>
  <c r="D6" i="9" l="1"/>
  <c r="J12" i="9"/>
  <c r="J13" i="9"/>
  <c r="G7" i="9"/>
  <c r="G6" i="9" s="1"/>
  <c r="L12" i="9"/>
  <c r="L13" i="9"/>
  <c r="K12" i="9"/>
</calcChain>
</file>

<file path=xl/sharedStrings.xml><?xml version="1.0" encoding="utf-8"?>
<sst xmlns="http://schemas.openxmlformats.org/spreadsheetml/2006/main" count="443" uniqueCount="373">
  <si>
    <t>Ano</t>
  </si>
  <si>
    <t>Óbitos</t>
  </si>
  <si>
    <t>Brasil</t>
  </si>
  <si>
    <t>Média</t>
  </si>
  <si>
    <t>Óbito/ população</t>
  </si>
  <si>
    <t>Relação Óbito / População</t>
  </si>
  <si>
    <t>Projeção Óbitos</t>
  </si>
  <si>
    <t>Araranguá</t>
  </si>
  <si>
    <t>Relação população Araranguá com a população brasileira</t>
  </si>
  <si>
    <t>Projeção população Araranguá a partir da população brasileira</t>
  </si>
  <si>
    <t>1sem</t>
  </si>
  <si>
    <t>Araranguá/Brasil</t>
  </si>
  <si>
    <t>Relação Óbito/População desconsiderando 2021 e 2022</t>
  </si>
  <si>
    <t>Funeral Indigentes</t>
  </si>
  <si>
    <t>Demais funerais</t>
  </si>
  <si>
    <t>Preço médio</t>
  </si>
  <si>
    <t>Margem de Contrbuição Total</t>
  </si>
  <si>
    <t>Cenário Pessimista</t>
  </si>
  <si>
    <t>Cenário Otimista</t>
  </si>
  <si>
    <t>Custos Fixos</t>
  </si>
  <si>
    <t>Aluguel</t>
  </si>
  <si>
    <t>Pessoal</t>
  </si>
  <si>
    <t>Agente Funerário</t>
  </si>
  <si>
    <t>Adicional de Insalubridade</t>
  </si>
  <si>
    <t>Salário base</t>
  </si>
  <si>
    <t>Recepcionista - Assistente Administrativo</t>
  </si>
  <si>
    <t xml:space="preserve">Servente de Limpeza </t>
  </si>
  <si>
    <t xml:space="preserve">Gerente Administrativo </t>
  </si>
  <si>
    <t xml:space="preserve">Motorista de Furgão ou Veículo Similar </t>
  </si>
  <si>
    <t>Pessoal Operacional</t>
  </si>
  <si>
    <t>Pessoal Administrativo</t>
  </si>
  <si>
    <t>Total de Gasto com pessoal</t>
  </si>
  <si>
    <t>Encargos sociais - Optante pelo Simples Nacional</t>
  </si>
  <si>
    <t>Mensal</t>
  </si>
  <si>
    <t>Anual</t>
  </si>
  <si>
    <t>Veículos</t>
  </si>
  <si>
    <t>Escritório</t>
  </si>
  <si>
    <t>Água, Energia Elétrica, Telefonia, Internet, etc</t>
  </si>
  <si>
    <t>Número médio de sepultamentos anuais</t>
  </si>
  <si>
    <t>Custo médio de cada sepultamento</t>
  </si>
  <si>
    <t>Seguro e documentação dos veículos</t>
  </si>
  <si>
    <t>Contabilidade da empresa</t>
  </si>
  <si>
    <t>Alíquota Simples Nacional</t>
  </si>
  <si>
    <t>Cenário Intermediário</t>
  </si>
  <si>
    <t>Simples Nacional</t>
  </si>
  <si>
    <t>TOTAL DE CUSTOS FIXOS ANUAIS</t>
  </si>
  <si>
    <t>Custo Variável</t>
  </si>
  <si>
    <t>Custo médio</t>
  </si>
  <si>
    <t>Ornamentos para decoração</t>
  </si>
  <si>
    <t>Transporte</t>
  </si>
  <si>
    <t>Manutenção</t>
  </si>
  <si>
    <t>Limpeza - média por sepultamento</t>
  </si>
  <si>
    <t xml:space="preserve">Preço do combustível - Gasolina </t>
  </si>
  <si>
    <t>por litro</t>
  </si>
  <si>
    <t>Média de km por litro</t>
  </si>
  <si>
    <t>km/litro</t>
  </si>
  <si>
    <t>Média de km por sepultamento</t>
  </si>
  <si>
    <t>km</t>
  </si>
  <si>
    <t>Material de consumo - diversos</t>
  </si>
  <si>
    <t>Manutenção - percentual do combustível</t>
  </si>
  <si>
    <t>Descrição dos custos</t>
  </si>
  <si>
    <t>FUNERAL</t>
  </si>
  <si>
    <t>FUNERAL E PREPARAÇÃO DE CORPOS</t>
  </si>
  <si>
    <t>COROAS DE FLORES</t>
  </si>
  <si>
    <t>Custo de cada coroa</t>
  </si>
  <si>
    <t>Faturamento médio por funeral</t>
  </si>
  <si>
    <t>Custo variável médio por funeral</t>
  </si>
  <si>
    <t>Número médio de coroas por funeral</t>
  </si>
  <si>
    <t>unidades</t>
  </si>
  <si>
    <t>COROAS</t>
  </si>
  <si>
    <t>TOTAL</t>
  </si>
  <si>
    <t>RECEITA MÉDIA</t>
  </si>
  <si>
    <t>CUSTO VARIÁVEL</t>
  </si>
  <si>
    <t>Calculado por meio de simulação</t>
  </si>
  <si>
    <t>Percentual da população com renda per capita inferior a 0,5 SM</t>
  </si>
  <si>
    <t>Intermediário</t>
  </si>
  <si>
    <t>Pessimista</t>
  </si>
  <si>
    <t>Otimista</t>
  </si>
  <si>
    <t>Adaptação da Sede</t>
  </si>
  <si>
    <t>Mobília e equipamentos do escritório</t>
  </si>
  <si>
    <t>Mobília e equipamentos operacionais</t>
  </si>
  <si>
    <t>Estoque inicial</t>
  </si>
  <si>
    <t xml:space="preserve">Descrição </t>
  </si>
  <si>
    <t>Valor</t>
  </si>
  <si>
    <t>INVESTIMENTO INICIAL</t>
  </si>
  <si>
    <t>Investimento Inicial</t>
  </si>
  <si>
    <t>Taxa Mínima de Atratividade:</t>
  </si>
  <si>
    <t>Selic média 2010-2023</t>
  </si>
  <si>
    <t xml:space="preserve">Tesouro Pré-fixado </t>
  </si>
  <si>
    <t>Risco zero</t>
  </si>
  <si>
    <t>https://www.tesourodireto.com.br/titulos/precos-e-taxas.htm</t>
  </si>
  <si>
    <t>257º</t>
  </si>
  <si>
    <t>256º</t>
  </si>
  <si>
    <t>255º</t>
  </si>
  <si>
    <t>254º</t>
  </si>
  <si>
    <t>253º</t>
  </si>
  <si>
    <t>252º</t>
  </si>
  <si>
    <t>251º</t>
  </si>
  <si>
    <t>250º</t>
  </si>
  <si>
    <t>249º</t>
  </si>
  <si>
    <t>248º</t>
  </si>
  <si>
    <t>247º</t>
  </si>
  <si>
    <t>246º</t>
  </si>
  <si>
    <t>245º</t>
  </si>
  <si>
    <t>244º</t>
  </si>
  <si>
    <t>243º</t>
  </si>
  <si>
    <t>242º</t>
  </si>
  <si>
    <t>241º</t>
  </si>
  <si>
    <t>240º</t>
  </si>
  <si>
    <t>239º</t>
  </si>
  <si>
    <t>238º</t>
  </si>
  <si>
    <t>237º</t>
  </si>
  <si>
    <t>236º</t>
  </si>
  <si>
    <t>235º</t>
  </si>
  <si>
    <t>234º</t>
  </si>
  <si>
    <t>233º</t>
  </si>
  <si>
    <t>232º</t>
  </si>
  <si>
    <t>231º</t>
  </si>
  <si>
    <t>230º</t>
  </si>
  <si>
    <t>229º</t>
  </si>
  <si>
    <t>228º</t>
  </si>
  <si>
    <t>227º</t>
  </si>
  <si>
    <t>226º</t>
  </si>
  <si>
    <t>225º</t>
  </si>
  <si>
    <t>224º</t>
  </si>
  <si>
    <t>223º</t>
  </si>
  <si>
    <t>222º</t>
  </si>
  <si>
    <t>221º</t>
  </si>
  <si>
    <t>220º</t>
  </si>
  <si>
    <t>219º</t>
  </si>
  <si>
    <t>218º</t>
  </si>
  <si>
    <t>217º</t>
  </si>
  <si>
    <t>216º</t>
  </si>
  <si>
    <t>215º</t>
  </si>
  <si>
    <t>214º</t>
  </si>
  <si>
    <t>213º</t>
  </si>
  <si>
    <t>212º</t>
  </si>
  <si>
    <t>211º</t>
  </si>
  <si>
    <t>210º</t>
  </si>
  <si>
    <t>209º</t>
  </si>
  <si>
    <t>208º</t>
  </si>
  <si>
    <t>207º</t>
  </si>
  <si>
    <t>206º</t>
  </si>
  <si>
    <t>205º</t>
  </si>
  <si>
    <t>204º</t>
  </si>
  <si>
    <t>203º</t>
  </si>
  <si>
    <t>202º</t>
  </si>
  <si>
    <t>201º</t>
  </si>
  <si>
    <t>200º</t>
  </si>
  <si>
    <t>199º</t>
  </si>
  <si>
    <t>198º</t>
  </si>
  <si>
    <t>197º</t>
  </si>
  <si>
    <t>196º</t>
  </si>
  <si>
    <t>195º</t>
  </si>
  <si>
    <t>194º</t>
  </si>
  <si>
    <t>193º</t>
  </si>
  <si>
    <t>192º</t>
  </si>
  <si>
    <t>191º</t>
  </si>
  <si>
    <t>190º</t>
  </si>
  <si>
    <t>189º</t>
  </si>
  <si>
    <t>188º</t>
  </si>
  <si>
    <t>187º</t>
  </si>
  <si>
    <t>186º</t>
  </si>
  <si>
    <t>185º</t>
  </si>
  <si>
    <t>184º</t>
  </si>
  <si>
    <t>183º</t>
  </si>
  <si>
    <t>182º</t>
  </si>
  <si>
    <t>181º</t>
  </si>
  <si>
    <t>180º</t>
  </si>
  <si>
    <t>179º</t>
  </si>
  <si>
    <t>178º</t>
  </si>
  <si>
    <t>177º</t>
  </si>
  <si>
    <t>176º</t>
  </si>
  <si>
    <t>175º</t>
  </si>
  <si>
    <t>174º</t>
  </si>
  <si>
    <t>173º</t>
  </si>
  <si>
    <t>172º</t>
  </si>
  <si>
    <t>171º</t>
  </si>
  <si>
    <t>170º</t>
  </si>
  <si>
    <t>169º</t>
  </si>
  <si>
    <t>168º</t>
  </si>
  <si>
    <t>167º</t>
  </si>
  <si>
    <t>166º</t>
  </si>
  <si>
    <t>165º</t>
  </si>
  <si>
    <t>164º</t>
  </si>
  <si>
    <t>163º</t>
  </si>
  <si>
    <t>162º</t>
  </si>
  <si>
    <t>161º</t>
  </si>
  <si>
    <t>160º</t>
  </si>
  <si>
    <t>159º</t>
  </si>
  <si>
    <t>158º</t>
  </si>
  <si>
    <t>157º</t>
  </si>
  <si>
    <t>156º</t>
  </si>
  <si>
    <t>155º</t>
  </si>
  <si>
    <t>154º</t>
  </si>
  <si>
    <t>153º</t>
  </si>
  <si>
    <t>152º</t>
  </si>
  <si>
    <t>151º</t>
  </si>
  <si>
    <t>150º</t>
  </si>
  <si>
    <t>149º</t>
  </si>
  <si>
    <t>148º</t>
  </si>
  <si>
    <t>147º</t>
  </si>
  <si>
    <t>146º</t>
  </si>
  <si>
    <t>145º</t>
  </si>
  <si>
    <t>144º</t>
  </si>
  <si>
    <t>143º</t>
  </si>
  <si>
    <t>142º</t>
  </si>
  <si>
    <t>141º</t>
  </si>
  <si>
    <t>140º</t>
  </si>
  <si>
    <t>139º</t>
  </si>
  <si>
    <t>138º</t>
  </si>
  <si>
    <t>137º</t>
  </si>
  <si>
    <t>136º</t>
  </si>
  <si>
    <t>135º</t>
  </si>
  <si>
    <t>134º</t>
  </si>
  <si>
    <t>133º</t>
  </si>
  <si>
    <t>132º</t>
  </si>
  <si>
    <t>131º</t>
  </si>
  <si>
    <t>130º</t>
  </si>
  <si>
    <t>129º</t>
  </si>
  <si>
    <t>128º</t>
  </si>
  <si>
    <t>127º</t>
  </si>
  <si>
    <t>126º</t>
  </si>
  <si>
    <t>125º</t>
  </si>
  <si>
    <t>124º</t>
  </si>
  <si>
    <t>123º</t>
  </si>
  <si>
    <t>122º</t>
  </si>
  <si>
    <t>121º</t>
  </si>
  <si>
    <t>120º</t>
  </si>
  <si>
    <t>119º</t>
  </si>
  <si>
    <t>118º</t>
  </si>
  <si>
    <t>117º</t>
  </si>
  <si>
    <t>116º</t>
  </si>
  <si>
    <t>115º</t>
  </si>
  <si>
    <t>114º</t>
  </si>
  <si>
    <t>113º</t>
  </si>
  <si>
    <t>112º</t>
  </si>
  <si>
    <t>111º</t>
  </si>
  <si>
    <t>110º</t>
  </si>
  <si>
    <t>109º</t>
  </si>
  <si>
    <t>108º</t>
  </si>
  <si>
    <t>107º</t>
  </si>
  <si>
    <t>106º</t>
  </si>
  <si>
    <t>105º</t>
  </si>
  <si>
    <t>104º</t>
  </si>
  <si>
    <t>103º</t>
  </si>
  <si>
    <t>102º</t>
  </si>
  <si>
    <t>101º</t>
  </si>
  <si>
    <t>100º</t>
  </si>
  <si>
    <t>99º</t>
  </si>
  <si>
    <t>98º</t>
  </si>
  <si>
    <t>97º</t>
  </si>
  <si>
    <t>96º</t>
  </si>
  <si>
    <t>95º</t>
  </si>
  <si>
    <t>94º</t>
  </si>
  <si>
    <t>93º</t>
  </si>
  <si>
    <t>92º</t>
  </si>
  <si>
    <t>91º</t>
  </si>
  <si>
    <t>90º</t>
  </si>
  <si>
    <t>89º</t>
  </si>
  <si>
    <t>88º</t>
  </si>
  <si>
    <t>87º</t>
  </si>
  <si>
    <t>86º</t>
  </si>
  <si>
    <t>85º</t>
  </si>
  <si>
    <t>84º</t>
  </si>
  <si>
    <t>83º</t>
  </si>
  <si>
    <t>82º</t>
  </si>
  <si>
    <t>81º</t>
  </si>
  <si>
    <t>80º</t>
  </si>
  <si>
    <t>79º</t>
  </si>
  <si>
    <t>78º</t>
  </si>
  <si>
    <t>77º</t>
  </si>
  <si>
    <t>75º</t>
  </si>
  <si>
    <t>74º</t>
  </si>
  <si>
    <t>73º</t>
  </si>
  <si>
    <t>72º</t>
  </si>
  <si>
    <t>71º</t>
  </si>
  <si>
    <t>70º</t>
  </si>
  <si>
    <t>69º</t>
  </si>
  <si>
    <t>68º</t>
  </si>
  <si>
    <t>67º</t>
  </si>
  <si>
    <t>66º</t>
  </si>
  <si>
    <t>65º</t>
  </si>
  <si>
    <t>64º</t>
  </si>
  <si>
    <t>63º</t>
  </si>
  <si>
    <t>62º</t>
  </si>
  <si>
    <t>61º</t>
  </si>
  <si>
    <t>60º</t>
  </si>
  <si>
    <t>59º</t>
  </si>
  <si>
    <t>58º</t>
  </si>
  <si>
    <t>57º</t>
  </si>
  <si>
    <t>56º</t>
  </si>
  <si>
    <t>55º</t>
  </si>
  <si>
    <t>54º</t>
  </si>
  <si>
    <t>53º</t>
  </si>
  <si>
    <t>52º</t>
  </si>
  <si>
    <t>51º</t>
  </si>
  <si>
    <t>50º</t>
  </si>
  <si>
    <t>49º</t>
  </si>
  <si>
    <t>48º</t>
  </si>
  <si>
    <t>47º</t>
  </si>
  <si>
    <t>46º</t>
  </si>
  <si>
    <t>45º</t>
  </si>
  <si>
    <t>44º</t>
  </si>
  <si>
    <t>43º</t>
  </si>
  <si>
    <t>42º</t>
  </si>
  <si>
    <t>41º</t>
  </si>
  <si>
    <t>40º</t>
  </si>
  <si>
    <t>39º</t>
  </si>
  <si>
    <t>38º</t>
  </si>
  <si>
    <t>37º</t>
  </si>
  <si>
    <t>36º</t>
  </si>
  <si>
    <t>35º</t>
  </si>
  <si>
    <t>34º</t>
  </si>
  <si>
    <t>33º</t>
  </si>
  <si>
    <t>32º</t>
  </si>
  <si>
    <t>31º</t>
  </si>
  <si>
    <t>30º</t>
  </si>
  <si>
    <t>29º</t>
  </si>
  <si>
    <t>27º</t>
  </si>
  <si>
    <t>26º</t>
  </si>
  <si>
    <t>25º</t>
  </si>
  <si>
    <t>24º</t>
  </si>
  <si>
    <t>23º</t>
  </si>
  <si>
    <t>22º</t>
  </si>
  <si>
    <t>21º</t>
  </si>
  <si>
    <t>20º</t>
  </si>
  <si>
    <t>19º</t>
  </si>
  <si>
    <t>17º</t>
  </si>
  <si>
    <t>16º</t>
  </si>
  <si>
    <t>15º</t>
  </si>
  <si>
    <t>14º</t>
  </si>
  <si>
    <t>13º</t>
  </si>
  <si>
    <t>12º</t>
  </si>
  <si>
    <t>11º</t>
  </si>
  <si>
    <t>10º</t>
  </si>
  <si>
    <t>9º</t>
  </si>
  <si>
    <t>8º</t>
  </si>
  <si>
    <t>7º</t>
  </si>
  <si>
    <t>6º</t>
  </si>
  <si>
    <t>5º</t>
  </si>
  <si>
    <t>4º</t>
  </si>
  <si>
    <t>3º</t>
  </si>
  <si>
    <t>2º</t>
  </si>
  <si>
    <t>1º</t>
  </si>
  <si>
    <t>76º ex.</t>
  </si>
  <si>
    <t>28º ex.</t>
  </si>
  <si>
    <t>18º ex.</t>
  </si>
  <si>
    <t>Média 2010-2023</t>
  </si>
  <si>
    <t>CENÁRIOS</t>
  </si>
  <si>
    <t>VPL</t>
  </si>
  <si>
    <t>TIR</t>
  </si>
  <si>
    <t>Payback Descontado</t>
  </si>
  <si>
    <t>FDC Descontado</t>
  </si>
  <si>
    <t>3% de prêmio pelo risco</t>
  </si>
  <si>
    <t>FLUXO DE CAIXA E INDICADORES</t>
  </si>
  <si>
    <r>
      <rPr>
        <sz val="11"/>
        <color rgb="FFFF0000"/>
        <rFont val="Arial"/>
        <family val="2"/>
      </rPr>
      <t>redução</t>
    </r>
    <r>
      <rPr>
        <sz val="11"/>
        <color theme="1"/>
        <rFont val="Arial"/>
        <family val="2"/>
      </rPr>
      <t xml:space="preserve"> no valor médio</t>
    </r>
  </si>
  <si>
    <r>
      <rPr>
        <sz val="11"/>
        <color rgb="FF0070C0"/>
        <rFont val="Arial"/>
        <family val="2"/>
      </rPr>
      <t>acréscimo</t>
    </r>
    <r>
      <rPr>
        <sz val="11"/>
        <color theme="1"/>
        <rFont val="Arial"/>
        <family val="2"/>
      </rPr>
      <t xml:space="preserve"> no valor médio</t>
    </r>
  </si>
  <si>
    <t>8 anos</t>
  </si>
  <si>
    <t>2 anos</t>
  </si>
  <si>
    <t>Funeral por concessionária</t>
  </si>
  <si>
    <t>Total de funeral médio</t>
  </si>
  <si>
    <t>Funerais</t>
  </si>
  <si>
    <t>Urna mortuária</t>
  </si>
  <si>
    <t>TOTAL POR FUNERAL</t>
  </si>
  <si>
    <t>Combustível - média de 20km por funeral</t>
  </si>
  <si>
    <t>Indicadores</t>
  </si>
  <si>
    <t>---</t>
  </si>
  <si>
    <t>Descrição</t>
  </si>
  <si>
    <t>Custo Anual</t>
  </si>
  <si>
    <t>Custo Anual com Encargos Sociais</t>
  </si>
  <si>
    <t>Sobreaviso</t>
  </si>
  <si>
    <t>Sede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</si>
</sst>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0.00000%"/>
    <numFmt numFmtId="165" formatCode="0.000000%"/>
    <numFmt numFmtId="166" formatCode="&quot;R$&quot;\ 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sz val="11"/>
      <name val="Arial"/>
      <family val="2"/>
    </font>
    <font>
      <sz val="10"/>
      <name val="Segoe UI"/>
      <family val="2"/>
    </font>
    <font>
      <b/>
      <sz val="14"/>
      <name val="Calibri"/>
      <family val="2"/>
      <scheme val="minor"/>
    </font>
    <font>
      <sz val="16"/>
      <color theme="1"/>
      <name val="Arial"/>
      <family val="2"/>
    </font>
    <font>
      <sz val="11"/>
      <color rgb="FFFF0000"/>
      <name val="Arial"/>
      <family val="2"/>
    </font>
    <font>
      <sz val="14"/>
      <color theme="1"/>
      <name val="Arial"/>
      <family val="2"/>
    </font>
    <font>
      <sz val="11"/>
      <color theme="0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sz val="11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165" fontId="4" fillId="0" borderId="1" xfId="1" applyNumberFormat="1" applyFont="1" applyBorder="1"/>
    <xf numFmtId="0" fontId="5" fillId="3" borderId="1" xfId="0" applyFont="1" applyFill="1" applyBorder="1" applyAlignment="1">
      <alignment horizontal="center"/>
    </xf>
    <xf numFmtId="165" fontId="5" fillId="3" borderId="1" xfId="1" applyNumberFormat="1" applyFont="1" applyFill="1" applyBorder="1"/>
    <xf numFmtId="3" fontId="4" fillId="0" borderId="1" xfId="0" applyNumberFormat="1" applyFont="1" applyBorder="1" applyAlignment="1">
      <alignment horizontal="center"/>
    </xf>
    <xf numFmtId="0" fontId="2" fillId="2" borderId="0" xfId="0" applyFont="1" applyFill="1"/>
    <xf numFmtId="1" fontId="2" fillId="0" borderId="1" xfId="0" applyNumberFormat="1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6" fillId="7" borderId="1" xfId="0" applyFont="1" applyFill="1" applyBorder="1"/>
    <xf numFmtId="166" fontId="6" fillId="7" borderId="1" xfId="0" applyNumberFormat="1" applyFont="1" applyFill="1" applyBorder="1"/>
    <xf numFmtId="166" fontId="10" fillId="4" borderId="1" xfId="0" applyNumberFormat="1" applyFont="1" applyFill="1" applyBorder="1"/>
    <xf numFmtId="10" fontId="2" fillId="0" borderId="0" xfId="1" applyNumberFormat="1" applyFont="1" applyAlignment="1">
      <alignment horizontal="center"/>
    </xf>
    <xf numFmtId="0" fontId="11" fillId="9" borderId="1" xfId="0" applyFont="1" applyFill="1" applyBorder="1" applyAlignment="1">
      <alignment vertical="top" wrapText="1"/>
    </xf>
    <xf numFmtId="14" fontId="11" fillId="9" borderId="1" xfId="0" applyNumberFormat="1" applyFont="1" applyFill="1" applyBorder="1" applyAlignment="1">
      <alignment vertical="top" wrapText="1"/>
    </xf>
    <xf numFmtId="0" fontId="8" fillId="0" borderId="0" xfId="0" applyFont="1"/>
    <xf numFmtId="10" fontId="12" fillId="0" borderId="1" xfId="1" applyNumberFormat="1" applyFont="1" applyBorder="1" applyAlignment="1">
      <alignment vertical="center"/>
    </xf>
    <xf numFmtId="10" fontId="2" fillId="0" borderId="0" xfId="1" applyNumberFormat="1" applyFont="1"/>
    <xf numFmtId="0" fontId="2" fillId="0" borderId="0" xfId="0" applyFont="1" applyAlignment="1">
      <alignment horizontal="left"/>
    </xf>
    <xf numFmtId="0" fontId="2" fillId="10" borderId="0" xfId="0" applyFont="1" applyFill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vertical="center"/>
    </xf>
    <xf numFmtId="8" fontId="2" fillId="0" borderId="0" xfId="0" applyNumberFormat="1" applyFont="1"/>
    <xf numFmtId="0" fontId="16" fillId="0" borderId="0" xfId="0" applyFont="1"/>
    <xf numFmtId="166" fontId="2" fillId="11" borderId="1" xfId="0" applyNumberFormat="1" applyFont="1" applyFill="1" applyBorder="1"/>
    <xf numFmtId="166" fontId="6" fillId="11" borderId="1" xfId="0" applyNumberFormat="1" applyFont="1" applyFill="1" applyBorder="1" applyAlignment="1">
      <alignment vertical="center"/>
    </xf>
    <xf numFmtId="166" fontId="10" fillId="11" borderId="0" xfId="0" applyNumberFormat="1" applyFont="1" applyFill="1" applyAlignment="1">
      <alignment vertical="center"/>
    </xf>
    <xf numFmtId="166" fontId="10" fillId="11" borderId="1" xfId="0" applyNumberFormat="1" applyFont="1" applyFill="1" applyBorder="1"/>
    <xf numFmtId="10" fontId="2" fillId="4" borderId="0" xfId="0" applyNumberFormat="1" applyFont="1" applyFill="1"/>
    <xf numFmtId="0" fontId="2" fillId="5" borderId="0" xfId="0" applyFont="1" applyFill="1"/>
    <xf numFmtId="166" fontId="2" fillId="4" borderId="1" xfId="0" applyNumberFormat="1" applyFont="1" applyFill="1" applyBorder="1"/>
    <xf numFmtId="166" fontId="2" fillId="7" borderId="1" xfId="0" applyNumberFormat="1" applyFont="1" applyFill="1" applyBorder="1"/>
    <xf numFmtId="166" fontId="2" fillId="0" borderId="0" xfId="0" applyNumberFormat="1" applyFont="1"/>
    <xf numFmtId="0" fontId="2" fillId="0" borderId="1" xfId="0" applyFont="1" applyBorder="1" applyAlignment="1">
      <alignment vertical="center"/>
    </xf>
    <xf numFmtId="9" fontId="2" fillId="4" borderId="1" xfId="0" applyNumberFormat="1" applyFont="1" applyFill="1" applyBorder="1"/>
    <xf numFmtId="0" fontId="2" fillId="4" borderId="1" xfId="0" applyFont="1" applyFill="1" applyBorder="1"/>
    <xf numFmtId="166" fontId="9" fillId="7" borderId="1" xfId="0" applyNumberFormat="1" applyFont="1" applyFill="1" applyBorder="1"/>
    <xf numFmtId="0" fontId="1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7" borderId="1" xfId="0" applyFont="1" applyFill="1" applyBorder="1" applyAlignment="1">
      <alignment vertical="center"/>
    </xf>
    <xf numFmtId="166" fontId="7" fillId="7" borderId="1" xfId="0" applyNumberFormat="1" applyFont="1" applyFill="1" applyBorder="1"/>
    <xf numFmtId="0" fontId="10" fillId="2" borderId="3" xfId="0" applyFont="1" applyFill="1" applyBorder="1"/>
    <xf numFmtId="166" fontId="10" fillId="4" borderId="3" xfId="0" applyNumberFormat="1" applyFont="1" applyFill="1" applyBorder="1"/>
    <xf numFmtId="0" fontId="6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9" fontId="2" fillId="4" borderId="8" xfId="0" applyNumberFormat="1" applyFont="1" applyFill="1" applyBorder="1"/>
    <xf numFmtId="166" fontId="2" fillId="0" borderId="8" xfId="0" applyNumberFormat="1" applyFont="1" applyBorder="1"/>
    <xf numFmtId="0" fontId="7" fillId="4" borderId="1" xfId="0" applyFont="1" applyFill="1" applyBorder="1" applyAlignment="1">
      <alignment horizontal="center"/>
    </xf>
    <xf numFmtId="9" fontId="2" fillId="2" borderId="0" xfId="0" applyNumberFormat="1" applyFont="1" applyFill="1"/>
    <xf numFmtId="0" fontId="20" fillId="4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10" fontId="2" fillId="4" borderId="1" xfId="0" applyNumberFormat="1" applyFont="1" applyFill="1" applyBorder="1"/>
    <xf numFmtId="0" fontId="17" fillId="2" borderId="0" xfId="0" applyFont="1" applyFill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164" fontId="2" fillId="0" borderId="1" xfId="1" applyNumberFormat="1" applyFont="1" applyBorder="1"/>
    <xf numFmtId="0" fontId="10" fillId="2" borderId="1" xfId="0" applyFont="1" applyFill="1" applyBorder="1" applyAlignment="1">
      <alignment horizontal="right" vertical="center"/>
    </xf>
    <xf numFmtId="3" fontId="2" fillId="0" borderId="1" xfId="0" applyNumberFormat="1" applyFont="1" applyBorder="1"/>
    <xf numFmtId="0" fontId="7" fillId="0" borderId="0" xfId="0" applyFont="1"/>
    <xf numFmtId="164" fontId="7" fillId="3" borderId="3" xfId="1" applyNumberFormat="1" applyFont="1" applyFill="1" applyBorder="1"/>
    <xf numFmtId="3" fontId="2" fillId="0" borderId="0" xfId="0" applyNumberFormat="1" applyFont="1"/>
    <xf numFmtId="3" fontId="7" fillId="2" borderId="0" xfId="0" applyNumberFormat="1" applyFont="1" applyFill="1"/>
    <xf numFmtId="164" fontId="7" fillId="3" borderId="0" xfId="1" applyNumberFormat="1" applyFont="1" applyFill="1"/>
    <xf numFmtId="164" fontId="2" fillId="0" borderId="0" xfId="1" applyNumberFormat="1" applyFont="1"/>
    <xf numFmtId="10" fontId="2" fillId="5" borderId="0" xfId="0" applyNumberFormat="1" applyFont="1" applyFill="1"/>
    <xf numFmtId="3" fontId="2" fillId="0" borderId="4" xfId="0" applyNumberFormat="1" applyFont="1" applyBorder="1"/>
    <xf numFmtId="1" fontId="2" fillId="0" borderId="1" xfId="0" applyNumberFormat="1" applyFont="1" applyBorder="1" applyAlignment="1">
      <alignment horizontal="center"/>
    </xf>
    <xf numFmtId="10" fontId="2" fillId="4" borderId="3" xfId="0" applyNumberFormat="1" applyFont="1" applyFill="1" applyBorder="1"/>
    <xf numFmtId="1" fontId="7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8" fontId="23" fillId="2" borderId="1" xfId="0" applyNumberFormat="1" applyFont="1" applyFill="1" applyBorder="1" applyAlignment="1">
      <alignment horizontal="center"/>
    </xf>
    <xf numFmtId="9" fontId="23" fillId="2" borderId="1" xfId="0" applyNumberFormat="1" applyFont="1" applyFill="1" applyBorder="1" applyAlignment="1">
      <alignment horizontal="center"/>
    </xf>
    <xf numFmtId="9" fontId="23" fillId="2" borderId="1" xfId="0" quotePrefix="1" applyNumberFormat="1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quotePrefix="1" applyFont="1" applyFill="1" applyBorder="1" applyAlignment="1">
      <alignment horizontal="center"/>
    </xf>
    <xf numFmtId="0" fontId="22" fillId="0" borderId="0" xfId="2"/>
    <xf numFmtId="166" fontId="23" fillId="2" borderId="1" xfId="0" applyNumberFormat="1" applyFont="1" applyFill="1" applyBorder="1"/>
    <xf numFmtId="0" fontId="3" fillId="2" borderId="1" xfId="0" applyFont="1" applyFill="1" applyBorder="1"/>
    <xf numFmtId="166" fontId="3" fillId="2" borderId="1" xfId="0" applyNumberFormat="1" applyFont="1" applyFill="1" applyBorder="1"/>
    <xf numFmtId="0" fontId="23" fillId="2" borderId="1" xfId="0" applyFont="1" applyFill="1" applyBorder="1"/>
    <xf numFmtId="166" fontId="2" fillId="2" borderId="0" xfId="0" applyNumberFormat="1" applyFont="1" applyFill="1"/>
    <xf numFmtId="9" fontId="2" fillId="2" borderId="1" xfId="0" applyNumberFormat="1" applyFont="1" applyFill="1" applyBorder="1"/>
    <xf numFmtId="0" fontId="2" fillId="2" borderId="1" xfId="0" applyFont="1" applyFill="1" applyBorder="1"/>
    <xf numFmtId="0" fontId="2" fillId="2" borderId="0" xfId="0" applyFont="1" applyFill="1" applyAlignment="1">
      <alignment horizontal="left"/>
    </xf>
    <xf numFmtId="166" fontId="7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7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166" fontId="2" fillId="4" borderId="9" xfId="0" applyNumberFormat="1" applyFont="1" applyFill="1" applyBorder="1" applyAlignment="1">
      <alignment horizontal="center"/>
    </xf>
    <xf numFmtId="166" fontId="2" fillId="4" borderId="0" xfId="0" applyNumberFormat="1" applyFont="1" applyFill="1" applyAlignment="1">
      <alignment horizontal="center"/>
    </xf>
    <xf numFmtId="166" fontId="2" fillId="4" borderId="7" xfId="0" applyNumberFormat="1" applyFont="1" applyFill="1" applyBorder="1" applyAlignment="1">
      <alignment horizontal="center"/>
    </xf>
    <xf numFmtId="166" fontId="2" fillId="4" borderId="2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/>
    </xf>
    <xf numFmtId="0" fontId="17" fillId="7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9" fillId="7" borderId="1" xfId="0" applyFont="1" applyFill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8" fillId="7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5" borderId="0" xfId="0" applyFont="1" applyFill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</cellXfs>
  <cellStyles count="3">
    <cellStyle name="Hiperlink" xfId="2" builtinId="8"/>
    <cellStyle name="Normal" xfId="0" builtinId="0"/>
    <cellStyle name="Porcentagem" xfId="1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[1]SELIC!$D$3:$D$112</c:f>
              <c:numCache>
                <c:formatCode>General</c:formatCode>
                <c:ptCount val="110"/>
                <c:pt idx="0">
                  <c:v>45189</c:v>
                </c:pt>
                <c:pt idx="1">
                  <c:v>45140</c:v>
                </c:pt>
                <c:pt idx="2">
                  <c:v>45098</c:v>
                </c:pt>
                <c:pt idx="3">
                  <c:v>45049</c:v>
                </c:pt>
                <c:pt idx="4">
                  <c:v>45007</c:v>
                </c:pt>
                <c:pt idx="5">
                  <c:v>44958</c:v>
                </c:pt>
                <c:pt idx="6">
                  <c:v>44902</c:v>
                </c:pt>
                <c:pt idx="7">
                  <c:v>44860</c:v>
                </c:pt>
                <c:pt idx="8">
                  <c:v>44825</c:v>
                </c:pt>
                <c:pt idx="9">
                  <c:v>44776</c:v>
                </c:pt>
                <c:pt idx="10">
                  <c:v>44727</c:v>
                </c:pt>
                <c:pt idx="11">
                  <c:v>44685</c:v>
                </c:pt>
                <c:pt idx="12">
                  <c:v>44636</c:v>
                </c:pt>
                <c:pt idx="13">
                  <c:v>44594</c:v>
                </c:pt>
                <c:pt idx="14">
                  <c:v>44538</c:v>
                </c:pt>
                <c:pt idx="15">
                  <c:v>44496</c:v>
                </c:pt>
                <c:pt idx="16">
                  <c:v>44461</c:v>
                </c:pt>
                <c:pt idx="17">
                  <c:v>44412</c:v>
                </c:pt>
                <c:pt idx="18">
                  <c:v>44363</c:v>
                </c:pt>
                <c:pt idx="19">
                  <c:v>44321</c:v>
                </c:pt>
                <c:pt idx="20">
                  <c:v>44272</c:v>
                </c:pt>
                <c:pt idx="21">
                  <c:v>44216</c:v>
                </c:pt>
                <c:pt idx="22">
                  <c:v>44174</c:v>
                </c:pt>
                <c:pt idx="23">
                  <c:v>44132</c:v>
                </c:pt>
                <c:pt idx="24">
                  <c:v>44090</c:v>
                </c:pt>
                <c:pt idx="25">
                  <c:v>44048</c:v>
                </c:pt>
                <c:pt idx="26">
                  <c:v>43999</c:v>
                </c:pt>
                <c:pt idx="27">
                  <c:v>43957</c:v>
                </c:pt>
                <c:pt idx="28">
                  <c:v>43908</c:v>
                </c:pt>
                <c:pt idx="29">
                  <c:v>43866</c:v>
                </c:pt>
                <c:pt idx="30">
                  <c:v>43810</c:v>
                </c:pt>
                <c:pt idx="31">
                  <c:v>43768</c:v>
                </c:pt>
                <c:pt idx="32">
                  <c:v>43726</c:v>
                </c:pt>
                <c:pt idx="33">
                  <c:v>43677</c:v>
                </c:pt>
                <c:pt idx="34">
                  <c:v>43635</c:v>
                </c:pt>
                <c:pt idx="35">
                  <c:v>43593</c:v>
                </c:pt>
                <c:pt idx="36">
                  <c:v>43544</c:v>
                </c:pt>
                <c:pt idx="37">
                  <c:v>43502</c:v>
                </c:pt>
                <c:pt idx="38">
                  <c:v>43446</c:v>
                </c:pt>
                <c:pt idx="39">
                  <c:v>43404</c:v>
                </c:pt>
                <c:pt idx="40">
                  <c:v>43362</c:v>
                </c:pt>
                <c:pt idx="41">
                  <c:v>43313</c:v>
                </c:pt>
                <c:pt idx="42">
                  <c:v>43271</c:v>
                </c:pt>
                <c:pt idx="43">
                  <c:v>43236</c:v>
                </c:pt>
                <c:pt idx="44">
                  <c:v>43180</c:v>
                </c:pt>
                <c:pt idx="45">
                  <c:v>43138</c:v>
                </c:pt>
                <c:pt idx="46">
                  <c:v>43075</c:v>
                </c:pt>
                <c:pt idx="47">
                  <c:v>43033</c:v>
                </c:pt>
                <c:pt idx="48">
                  <c:v>42984</c:v>
                </c:pt>
                <c:pt idx="49">
                  <c:v>42942</c:v>
                </c:pt>
                <c:pt idx="50">
                  <c:v>42886</c:v>
                </c:pt>
                <c:pt idx="51">
                  <c:v>42837</c:v>
                </c:pt>
                <c:pt idx="52">
                  <c:v>42788</c:v>
                </c:pt>
                <c:pt idx="53">
                  <c:v>42746</c:v>
                </c:pt>
                <c:pt idx="54">
                  <c:v>42704</c:v>
                </c:pt>
                <c:pt idx="55">
                  <c:v>42662</c:v>
                </c:pt>
                <c:pt idx="56">
                  <c:v>42613</c:v>
                </c:pt>
                <c:pt idx="57">
                  <c:v>42571</c:v>
                </c:pt>
                <c:pt idx="58">
                  <c:v>42529</c:v>
                </c:pt>
                <c:pt idx="59">
                  <c:v>42487</c:v>
                </c:pt>
                <c:pt idx="60">
                  <c:v>42431</c:v>
                </c:pt>
                <c:pt idx="61">
                  <c:v>42389</c:v>
                </c:pt>
                <c:pt idx="62">
                  <c:v>42333</c:v>
                </c:pt>
                <c:pt idx="63">
                  <c:v>42298</c:v>
                </c:pt>
                <c:pt idx="64">
                  <c:v>42249</c:v>
                </c:pt>
                <c:pt idx="65">
                  <c:v>42214</c:v>
                </c:pt>
                <c:pt idx="66">
                  <c:v>42158</c:v>
                </c:pt>
                <c:pt idx="67">
                  <c:v>42123</c:v>
                </c:pt>
                <c:pt idx="68">
                  <c:v>42067</c:v>
                </c:pt>
                <c:pt idx="69">
                  <c:v>42025</c:v>
                </c:pt>
                <c:pt idx="70">
                  <c:v>41976</c:v>
                </c:pt>
                <c:pt idx="71">
                  <c:v>41941</c:v>
                </c:pt>
                <c:pt idx="72">
                  <c:v>41885</c:v>
                </c:pt>
                <c:pt idx="73">
                  <c:v>41836</c:v>
                </c:pt>
                <c:pt idx="74">
                  <c:v>41787</c:v>
                </c:pt>
                <c:pt idx="75">
                  <c:v>41731</c:v>
                </c:pt>
                <c:pt idx="76">
                  <c:v>41696</c:v>
                </c:pt>
                <c:pt idx="77">
                  <c:v>41654</c:v>
                </c:pt>
                <c:pt idx="78">
                  <c:v>41605</c:v>
                </c:pt>
                <c:pt idx="79">
                  <c:v>41556</c:v>
                </c:pt>
                <c:pt idx="80">
                  <c:v>41514</c:v>
                </c:pt>
                <c:pt idx="81">
                  <c:v>41465</c:v>
                </c:pt>
                <c:pt idx="82">
                  <c:v>41423</c:v>
                </c:pt>
                <c:pt idx="83">
                  <c:v>41381</c:v>
                </c:pt>
                <c:pt idx="84">
                  <c:v>41339</c:v>
                </c:pt>
                <c:pt idx="85">
                  <c:v>41290</c:v>
                </c:pt>
                <c:pt idx="86">
                  <c:v>41241</c:v>
                </c:pt>
                <c:pt idx="87">
                  <c:v>41192</c:v>
                </c:pt>
                <c:pt idx="88">
                  <c:v>41150</c:v>
                </c:pt>
                <c:pt idx="89">
                  <c:v>41101</c:v>
                </c:pt>
                <c:pt idx="90">
                  <c:v>41059</c:v>
                </c:pt>
                <c:pt idx="91">
                  <c:v>41017</c:v>
                </c:pt>
                <c:pt idx="92">
                  <c:v>40975</c:v>
                </c:pt>
                <c:pt idx="93">
                  <c:v>40926</c:v>
                </c:pt>
                <c:pt idx="94">
                  <c:v>40877</c:v>
                </c:pt>
                <c:pt idx="95">
                  <c:v>40835</c:v>
                </c:pt>
                <c:pt idx="96">
                  <c:v>40786</c:v>
                </c:pt>
                <c:pt idx="97">
                  <c:v>40744</c:v>
                </c:pt>
                <c:pt idx="98">
                  <c:v>40702</c:v>
                </c:pt>
                <c:pt idx="99">
                  <c:v>40653</c:v>
                </c:pt>
                <c:pt idx="100">
                  <c:v>40604</c:v>
                </c:pt>
                <c:pt idx="101">
                  <c:v>40562</c:v>
                </c:pt>
                <c:pt idx="102">
                  <c:v>40520</c:v>
                </c:pt>
                <c:pt idx="103">
                  <c:v>40471</c:v>
                </c:pt>
                <c:pt idx="104">
                  <c:v>40422</c:v>
                </c:pt>
                <c:pt idx="105">
                  <c:v>40380</c:v>
                </c:pt>
                <c:pt idx="106">
                  <c:v>40338</c:v>
                </c:pt>
                <c:pt idx="107">
                  <c:v>40296</c:v>
                </c:pt>
                <c:pt idx="108">
                  <c:v>40254</c:v>
                </c:pt>
                <c:pt idx="109">
                  <c:v>40205</c:v>
                </c:pt>
              </c:numCache>
            </c:numRef>
          </c:cat>
          <c:val>
            <c:numRef>
              <c:f>[1]SELIC!$E$3:$E$112</c:f>
              <c:numCache>
                <c:formatCode>General</c:formatCode>
                <c:ptCount val="110"/>
                <c:pt idx="0">
                  <c:v>12.75</c:v>
                </c:pt>
                <c:pt idx="1">
                  <c:v>13.25</c:v>
                </c:pt>
                <c:pt idx="2">
                  <c:v>13.75</c:v>
                </c:pt>
                <c:pt idx="3">
                  <c:v>13.75</c:v>
                </c:pt>
                <c:pt idx="4">
                  <c:v>13.75</c:v>
                </c:pt>
                <c:pt idx="5">
                  <c:v>13.75</c:v>
                </c:pt>
                <c:pt idx="6">
                  <c:v>13.75</c:v>
                </c:pt>
                <c:pt idx="7">
                  <c:v>13.75</c:v>
                </c:pt>
                <c:pt idx="8">
                  <c:v>13.75</c:v>
                </c:pt>
                <c:pt idx="9">
                  <c:v>13.75</c:v>
                </c:pt>
                <c:pt idx="10">
                  <c:v>13.25</c:v>
                </c:pt>
                <c:pt idx="11">
                  <c:v>12.75</c:v>
                </c:pt>
                <c:pt idx="12">
                  <c:v>11.75</c:v>
                </c:pt>
                <c:pt idx="13">
                  <c:v>10.75</c:v>
                </c:pt>
                <c:pt idx="14">
                  <c:v>9.25</c:v>
                </c:pt>
                <c:pt idx="15">
                  <c:v>7.75</c:v>
                </c:pt>
                <c:pt idx="16">
                  <c:v>6.25</c:v>
                </c:pt>
                <c:pt idx="17">
                  <c:v>5.25</c:v>
                </c:pt>
                <c:pt idx="18">
                  <c:v>4.25</c:v>
                </c:pt>
                <c:pt idx="19">
                  <c:v>3.5</c:v>
                </c:pt>
                <c:pt idx="20">
                  <c:v>2.75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2.25</c:v>
                </c:pt>
                <c:pt idx="27">
                  <c:v>3</c:v>
                </c:pt>
                <c:pt idx="28">
                  <c:v>3.75</c:v>
                </c:pt>
                <c:pt idx="29">
                  <c:v>4.25</c:v>
                </c:pt>
                <c:pt idx="30">
                  <c:v>4.5</c:v>
                </c:pt>
                <c:pt idx="31">
                  <c:v>5</c:v>
                </c:pt>
                <c:pt idx="32">
                  <c:v>5.5</c:v>
                </c:pt>
                <c:pt idx="33">
                  <c:v>6</c:v>
                </c:pt>
                <c:pt idx="34">
                  <c:v>6.5</c:v>
                </c:pt>
                <c:pt idx="35">
                  <c:v>6.5</c:v>
                </c:pt>
                <c:pt idx="36">
                  <c:v>6.5</c:v>
                </c:pt>
                <c:pt idx="37">
                  <c:v>6.5</c:v>
                </c:pt>
                <c:pt idx="38">
                  <c:v>6.5</c:v>
                </c:pt>
                <c:pt idx="39">
                  <c:v>6.5</c:v>
                </c:pt>
                <c:pt idx="40">
                  <c:v>6.5</c:v>
                </c:pt>
                <c:pt idx="41">
                  <c:v>6.5</c:v>
                </c:pt>
                <c:pt idx="42">
                  <c:v>6.5</c:v>
                </c:pt>
                <c:pt idx="43">
                  <c:v>6.5</c:v>
                </c:pt>
                <c:pt idx="44">
                  <c:v>6.5</c:v>
                </c:pt>
                <c:pt idx="45">
                  <c:v>6.75</c:v>
                </c:pt>
                <c:pt idx="46">
                  <c:v>7</c:v>
                </c:pt>
                <c:pt idx="47">
                  <c:v>7.5</c:v>
                </c:pt>
                <c:pt idx="48">
                  <c:v>8.25</c:v>
                </c:pt>
                <c:pt idx="49">
                  <c:v>9.25</c:v>
                </c:pt>
                <c:pt idx="50">
                  <c:v>10.25</c:v>
                </c:pt>
                <c:pt idx="51">
                  <c:v>11.25</c:v>
                </c:pt>
                <c:pt idx="52">
                  <c:v>12.25</c:v>
                </c:pt>
                <c:pt idx="53">
                  <c:v>13</c:v>
                </c:pt>
                <c:pt idx="54">
                  <c:v>13.75</c:v>
                </c:pt>
                <c:pt idx="55">
                  <c:v>14</c:v>
                </c:pt>
                <c:pt idx="56">
                  <c:v>14.25</c:v>
                </c:pt>
                <c:pt idx="57">
                  <c:v>14.25</c:v>
                </c:pt>
                <c:pt idx="58">
                  <c:v>14.25</c:v>
                </c:pt>
                <c:pt idx="59">
                  <c:v>14.25</c:v>
                </c:pt>
                <c:pt idx="60">
                  <c:v>14.25</c:v>
                </c:pt>
                <c:pt idx="61">
                  <c:v>14.25</c:v>
                </c:pt>
                <c:pt idx="62">
                  <c:v>14.25</c:v>
                </c:pt>
                <c:pt idx="63">
                  <c:v>14.25</c:v>
                </c:pt>
                <c:pt idx="64">
                  <c:v>14.25</c:v>
                </c:pt>
                <c:pt idx="65">
                  <c:v>14.25</c:v>
                </c:pt>
                <c:pt idx="66">
                  <c:v>13.75</c:v>
                </c:pt>
                <c:pt idx="67">
                  <c:v>13.25</c:v>
                </c:pt>
                <c:pt idx="68">
                  <c:v>12.75</c:v>
                </c:pt>
                <c:pt idx="69">
                  <c:v>12.25</c:v>
                </c:pt>
                <c:pt idx="70">
                  <c:v>11.75</c:v>
                </c:pt>
                <c:pt idx="71">
                  <c:v>11.25</c:v>
                </c:pt>
                <c:pt idx="72">
                  <c:v>11</c:v>
                </c:pt>
                <c:pt idx="73">
                  <c:v>11</c:v>
                </c:pt>
                <c:pt idx="74">
                  <c:v>11</c:v>
                </c:pt>
                <c:pt idx="75">
                  <c:v>11</c:v>
                </c:pt>
                <c:pt idx="76">
                  <c:v>10.75</c:v>
                </c:pt>
                <c:pt idx="77">
                  <c:v>10.5</c:v>
                </c:pt>
                <c:pt idx="78">
                  <c:v>10</c:v>
                </c:pt>
                <c:pt idx="79">
                  <c:v>9.5</c:v>
                </c:pt>
                <c:pt idx="80">
                  <c:v>9</c:v>
                </c:pt>
                <c:pt idx="81">
                  <c:v>8.5</c:v>
                </c:pt>
                <c:pt idx="82">
                  <c:v>8</c:v>
                </c:pt>
                <c:pt idx="83">
                  <c:v>7.5</c:v>
                </c:pt>
                <c:pt idx="84">
                  <c:v>7.25</c:v>
                </c:pt>
                <c:pt idx="85">
                  <c:v>7.25</c:v>
                </c:pt>
                <c:pt idx="86">
                  <c:v>7.25</c:v>
                </c:pt>
                <c:pt idx="87">
                  <c:v>7.25</c:v>
                </c:pt>
                <c:pt idx="88">
                  <c:v>7.5</c:v>
                </c:pt>
                <c:pt idx="89">
                  <c:v>8</c:v>
                </c:pt>
                <c:pt idx="90">
                  <c:v>8.5</c:v>
                </c:pt>
                <c:pt idx="91">
                  <c:v>9</c:v>
                </c:pt>
                <c:pt idx="92">
                  <c:v>9.75</c:v>
                </c:pt>
                <c:pt idx="93">
                  <c:v>10.5</c:v>
                </c:pt>
                <c:pt idx="94">
                  <c:v>11</c:v>
                </c:pt>
                <c:pt idx="95">
                  <c:v>11.5</c:v>
                </c:pt>
                <c:pt idx="96">
                  <c:v>12</c:v>
                </c:pt>
                <c:pt idx="97">
                  <c:v>12.5</c:v>
                </c:pt>
                <c:pt idx="98">
                  <c:v>12.25</c:v>
                </c:pt>
                <c:pt idx="99">
                  <c:v>12</c:v>
                </c:pt>
                <c:pt idx="100">
                  <c:v>11.75</c:v>
                </c:pt>
                <c:pt idx="101">
                  <c:v>11.25</c:v>
                </c:pt>
                <c:pt idx="102">
                  <c:v>10.75</c:v>
                </c:pt>
                <c:pt idx="103">
                  <c:v>10.75</c:v>
                </c:pt>
                <c:pt idx="104">
                  <c:v>10.75</c:v>
                </c:pt>
                <c:pt idx="105">
                  <c:v>10.75</c:v>
                </c:pt>
                <c:pt idx="106">
                  <c:v>10.25</c:v>
                </c:pt>
                <c:pt idx="107">
                  <c:v>9.5</c:v>
                </c:pt>
                <c:pt idx="108">
                  <c:v>8.75</c:v>
                </c:pt>
                <c:pt idx="109">
                  <c:v>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3-4A55-856A-C9A056E13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2546864"/>
        <c:axId val="2045467776"/>
      </c:lineChart>
      <c:catAx>
        <c:axId val="198254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45467776"/>
        <c:crosses val="autoZero"/>
        <c:auto val="1"/>
        <c:lblAlgn val="ctr"/>
        <c:lblOffset val="100"/>
        <c:noMultiLvlLbl val="0"/>
      </c:catAx>
      <c:valAx>
        <c:axId val="204546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82546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236220</xdr:colOff>
      <xdr:row>1</xdr:row>
      <xdr:rowOff>53340</xdr:rowOff>
    </xdr:from>
    <xdr:to>
      <xdr:col>19</xdr:col>
      <xdr:colOff>525780</xdr:colOff>
      <xdr:row>15</xdr:row>
      <xdr:rowOff>30480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3555838-D944-4098-B0BC-989FBA1BCB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and\Dropbox\Leandro%20Rivelli\UFV\Extens&#227;o\2023%20-%20Padaria%20da%20Suzana\Dados%20da%20empresa\01-10%20-%20Planilha%20para%20c&#225;lculo%20do%20Valuation%20revisado.xlsx" TargetMode="External"/><Relationship Id="rId1" Type="http://schemas.openxmlformats.org/officeDocument/2006/relationships/externalLinkPath" Target="/Users/leand/Dropbox/Leandro%20Rivelli/UFV/Extens&#227;o/2023%20-%20Padaria%20da%20Suzana/Dados%20da%20empresa/01-10%20-%20Planilha%20para%20c&#225;lculo%20do%20Valuation%20revis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ndas por mês"/>
      <sheetName val="Projeção Faturamento"/>
      <sheetName val="Valuation"/>
      <sheetName val="Custos Fixos"/>
      <sheetName val="Produtos futuros"/>
      <sheetName val="SELIC"/>
    </sheetNames>
    <sheetDataSet>
      <sheetData sheetId="0"/>
      <sheetData sheetId="1"/>
      <sheetData sheetId="2"/>
      <sheetData sheetId="3"/>
      <sheetData sheetId="4"/>
      <sheetData sheetId="5">
        <row r="3">
          <cell r="D3">
            <v>45189</v>
          </cell>
          <cell r="E3">
            <v>12.75</v>
          </cell>
        </row>
        <row r="4">
          <cell r="D4">
            <v>45140</v>
          </cell>
          <cell r="E4">
            <v>13.25</v>
          </cell>
        </row>
        <row r="5">
          <cell r="D5">
            <v>45098</v>
          </cell>
          <cell r="E5">
            <v>13.75</v>
          </cell>
        </row>
        <row r="6">
          <cell r="D6">
            <v>45049</v>
          </cell>
          <cell r="E6">
            <v>13.75</v>
          </cell>
        </row>
        <row r="7">
          <cell r="D7">
            <v>45007</v>
          </cell>
          <cell r="E7">
            <v>13.75</v>
          </cell>
        </row>
        <row r="8">
          <cell r="D8">
            <v>44958</v>
          </cell>
          <cell r="E8">
            <v>13.75</v>
          </cell>
        </row>
        <row r="9">
          <cell r="D9">
            <v>44902</v>
          </cell>
          <cell r="E9">
            <v>13.75</v>
          </cell>
        </row>
        <row r="10">
          <cell r="D10">
            <v>44860</v>
          </cell>
          <cell r="E10">
            <v>13.75</v>
          </cell>
        </row>
        <row r="11">
          <cell r="D11">
            <v>44825</v>
          </cell>
          <cell r="E11">
            <v>13.75</v>
          </cell>
        </row>
        <row r="12">
          <cell r="D12">
            <v>44776</v>
          </cell>
          <cell r="E12">
            <v>13.75</v>
          </cell>
        </row>
        <row r="13">
          <cell r="D13">
            <v>44727</v>
          </cell>
          <cell r="E13">
            <v>13.25</v>
          </cell>
        </row>
        <row r="14">
          <cell r="D14">
            <v>44685</v>
          </cell>
          <cell r="E14">
            <v>12.75</v>
          </cell>
        </row>
        <row r="15">
          <cell r="D15">
            <v>44636</v>
          </cell>
          <cell r="E15">
            <v>11.75</v>
          </cell>
        </row>
        <row r="16">
          <cell r="D16">
            <v>44594</v>
          </cell>
          <cell r="E16">
            <v>10.75</v>
          </cell>
        </row>
        <row r="17">
          <cell r="D17">
            <v>44538</v>
          </cell>
          <cell r="E17">
            <v>9.25</v>
          </cell>
        </row>
        <row r="18">
          <cell r="D18">
            <v>44496</v>
          </cell>
          <cell r="E18">
            <v>7.75</v>
          </cell>
        </row>
        <row r="19">
          <cell r="D19">
            <v>44461</v>
          </cell>
          <cell r="E19">
            <v>6.25</v>
          </cell>
        </row>
        <row r="20">
          <cell r="D20">
            <v>44412</v>
          </cell>
          <cell r="E20">
            <v>5.25</v>
          </cell>
        </row>
        <row r="21">
          <cell r="D21">
            <v>44363</v>
          </cell>
          <cell r="E21">
            <v>4.25</v>
          </cell>
        </row>
        <row r="22">
          <cell r="D22">
            <v>44321</v>
          </cell>
          <cell r="E22">
            <v>3.5</v>
          </cell>
        </row>
        <row r="23">
          <cell r="D23">
            <v>44272</v>
          </cell>
          <cell r="E23">
            <v>2.75</v>
          </cell>
        </row>
        <row r="24">
          <cell r="D24">
            <v>44216</v>
          </cell>
          <cell r="E24">
            <v>2</v>
          </cell>
        </row>
        <row r="25">
          <cell r="D25">
            <v>44174</v>
          </cell>
          <cell r="E25">
            <v>2</v>
          </cell>
        </row>
        <row r="26">
          <cell r="D26">
            <v>44132</v>
          </cell>
          <cell r="E26">
            <v>2</v>
          </cell>
        </row>
        <row r="27">
          <cell r="D27">
            <v>44090</v>
          </cell>
          <cell r="E27">
            <v>2</v>
          </cell>
        </row>
        <row r="28">
          <cell r="D28">
            <v>44048</v>
          </cell>
          <cell r="E28">
            <v>2</v>
          </cell>
        </row>
        <row r="29">
          <cell r="D29">
            <v>43999</v>
          </cell>
          <cell r="E29">
            <v>2.25</v>
          </cell>
        </row>
        <row r="30">
          <cell r="D30">
            <v>43957</v>
          </cell>
          <cell r="E30">
            <v>3</v>
          </cell>
        </row>
        <row r="31">
          <cell r="D31">
            <v>43908</v>
          </cell>
          <cell r="E31">
            <v>3.75</v>
          </cell>
        </row>
        <row r="32">
          <cell r="D32">
            <v>43866</v>
          </cell>
          <cell r="E32">
            <v>4.25</v>
          </cell>
        </row>
        <row r="33">
          <cell r="D33">
            <v>43810</v>
          </cell>
          <cell r="E33">
            <v>4.5</v>
          </cell>
        </row>
        <row r="34">
          <cell r="D34">
            <v>43768</v>
          </cell>
          <cell r="E34">
            <v>5</v>
          </cell>
        </row>
        <row r="35">
          <cell r="D35">
            <v>43726</v>
          </cell>
          <cell r="E35">
            <v>5.5</v>
          </cell>
        </row>
        <row r="36">
          <cell r="D36">
            <v>43677</v>
          </cell>
          <cell r="E36">
            <v>6</v>
          </cell>
        </row>
        <row r="37">
          <cell r="D37">
            <v>43635</v>
          </cell>
          <cell r="E37">
            <v>6.5</v>
          </cell>
        </row>
        <row r="38">
          <cell r="D38">
            <v>43593</v>
          </cell>
          <cell r="E38">
            <v>6.5</v>
          </cell>
        </row>
        <row r="39">
          <cell r="D39">
            <v>43544</v>
          </cell>
          <cell r="E39">
            <v>6.5</v>
          </cell>
        </row>
        <row r="40">
          <cell r="D40">
            <v>43502</v>
          </cell>
          <cell r="E40">
            <v>6.5</v>
          </cell>
        </row>
        <row r="41">
          <cell r="D41">
            <v>43446</v>
          </cell>
          <cell r="E41">
            <v>6.5</v>
          </cell>
        </row>
        <row r="42">
          <cell r="D42">
            <v>43404</v>
          </cell>
          <cell r="E42">
            <v>6.5</v>
          </cell>
        </row>
        <row r="43">
          <cell r="D43">
            <v>43362</v>
          </cell>
          <cell r="E43">
            <v>6.5</v>
          </cell>
        </row>
        <row r="44">
          <cell r="D44">
            <v>43313</v>
          </cell>
          <cell r="E44">
            <v>6.5</v>
          </cell>
        </row>
        <row r="45">
          <cell r="D45">
            <v>43271</v>
          </cell>
          <cell r="E45">
            <v>6.5</v>
          </cell>
        </row>
        <row r="46">
          <cell r="D46">
            <v>43236</v>
          </cell>
          <cell r="E46">
            <v>6.5</v>
          </cell>
        </row>
        <row r="47">
          <cell r="D47">
            <v>43180</v>
          </cell>
          <cell r="E47">
            <v>6.5</v>
          </cell>
        </row>
        <row r="48">
          <cell r="D48">
            <v>43138</v>
          </cell>
          <cell r="E48">
            <v>6.75</v>
          </cell>
        </row>
        <row r="49">
          <cell r="D49">
            <v>43075</v>
          </cell>
          <cell r="E49">
            <v>7</v>
          </cell>
        </row>
        <row r="50">
          <cell r="D50">
            <v>43033</v>
          </cell>
          <cell r="E50">
            <v>7.5</v>
          </cell>
        </row>
        <row r="51">
          <cell r="D51">
            <v>42984</v>
          </cell>
          <cell r="E51">
            <v>8.25</v>
          </cell>
        </row>
        <row r="52">
          <cell r="D52">
            <v>42942</v>
          </cell>
          <cell r="E52">
            <v>9.25</v>
          </cell>
        </row>
        <row r="53">
          <cell r="D53">
            <v>42886</v>
          </cell>
          <cell r="E53">
            <v>10.25</v>
          </cell>
        </row>
        <row r="54">
          <cell r="D54">
            <v>42837</v>
          </cell>
          <cell r="E54">
            <v>11.25</v>
          </cell>
        </row>
        <row r="55">
          <cell r="D55">
            <v>42788</v>
          </cell>
          <cell r="E55">
            <v>12.25</v>
          </cell>
        </row>
        <row r="56">
          <cell r="D56">
            <v>42746</v>
          </cell>
          <cell r="E56">
            <v>13</v>
          </cell>
        </row>
        <row r="57">
          <cell r="D57">
            <v>42704</v>
          </cell>
          <cell r="E57">
            <v>13.75</v>
          </cell>
        </row>
        <row r="58">
          <cell r="D58">
            <v>42662</v>
          </cell>
          <cell r="E58">
            <v>14</v>
          </cell>
        </row>
        <row r="59">
          <cell r="D59">
            <v>42613</v>
          </cell>
          <cell r="E59">
            <v>14.25</v>
          </cell>
        </row>
        <row r="60">
          <cell r="D60">
            <v>42571</v>
          </cell>
          <cell r="E60">
            <v>14.25</v>
          </cell>
        </row>
        <row r="61">
          <cell r="D61">
            <v>42529</v>
          </cell>
          <cell r="E61">
            <v>14.25</v>
          </cell>
        </row>
        <row r="62">
          <cell r="D62">
            <v>42487</v>
          </cell>
          <cell r="E62">
            <v>14.25</v>
          </cell>
        </row>
        <row r="63">
          <cell r="D63">
            <v>42431</v>
          </cell>
          <cell r="E63">
            <v>14.25</v>
          </cell>
        </row>
        <row r="64">
          <cell r="D64">
            <v>42389</v>
          </cell>
          <cell r="E64">
            <v>14.25</v>
          </cell>
        </row>
        <row r="65">
          <cell r="D65">
            <v>42333</v>
          </cell>
          <cell r="E65">
            <v>14.25</v>
          </cell>
        </row>
        <row r="66">
          <cell r="D66">
            <v>42298</v>
          </cell>
          <cell r="E66">
            <v>14.25</v>
          </cell>
        </row>
        <row r="67">
          <cell r="D67">
            <v>42249</v>
          </cell>
          <cell r="E67">
            <v>14.25</v>
          </cell>
        </row>
        <row r="68">
          <cell r="D68">
            <v>42214</v>
          </cell>
          <cell r="E68">
            <v>14.25</v>
          </cell>
        </row>
        <row r="69">
          <cell r="D69">
            <v>42158</v>
          </cell>
          <cell r="E69">
            <v>13.75</v>
          </cell>
        </row>
        <row r="70">
          <cell r="D70">
            <v>42123</v>
          </cell>
          <cell r="E70">
            <v>13.25</v>
          </cell>
        </row>
        <row r="71">
          <cell r="D71">
            <v>42067</v>
          </cell>
          <cell r="E71">
            <v>12.75</v>
          </cell>
        </row>
        <row r="72">
          <cell r="D72">
            <v>42025</v>
          </cell>
          <cell r="E72">
            <v>12.25</v>
          </cell>
        </row>
        <row r="73">
          <cell r="D73">
            <v>41976</v>
          </cell>
          <cell r="E73">
            <v>11.75</v>
          </cell>
        </row>
        <row r="74">
          <cell r="D74">
            <v>41941</v>
          </cell>
          <cell r="E74">
            <v>11.25</v>
          </cell>
        </row>
        <row r="75">
          <cell r="D75">
            <v>41885</v>
          </cell>
          <cell r="E75">
            <v>11</v>
          </cell>
        </row>
        <row r="76">
          <cell r="D76">
            <v>41836</v>
          </cell>
          <cell r="E76">
            <v>11</v>
          </cell>
        </row>
        <row r="77">
          <cell r="D77">
            <v>41787</v>
          </cell>
          <cell r="E77">
            <v>11</v>
          </cell>
        </row>
        <row r="78">
          <cell r="D78">
            <v>41731</v>
          </cell>
          <cell r="E78">
            <v>11</v>
          </cell>
        </row>
        <row r="79">
          <cell r="D79">
            <v>41696</v>
          </cell>
          <cell r="E79">
            <v>10.75</v>
          </cell>
        </row>
        <row r="80">
          <cell r="D80">
            <v>41654</v>
          </cell>
          <cell r="E80">
            <v>10.5</v>
          </cell>
        </row>
        <row r="81">
          <cell r="D81">
            <v>41605</v>
          </cell>
          <cell r="E81">
            <v>10</v>
          </cell>
        </row>
        <row r="82">
          <cell r="D82">
            <v>41556</v>
          </cell>
          <cell r="E82">
            <v>9.5</v>
          </cell>
        </row>
        <row r="83">
          <cell r="D83">
            <v>41514</v>
          </cell>
          <cell r="E83">
            <v>9</v>
          </cell>
        </row>
        <row r="84">
          <cell r="D84">
            <v>41465</v>
          </cell>
          <cell r="E84">
            <v>8.5</v>
          </cell>
        </row>
        <row r="85">
          <cell r="D85">
            <v>41423</v>
          </cell>
          <cell r="E85">
            <v>8</v>
          </cell>
        </row>
        <row r="86">
          <cell r="D86">
            <v>41381</v>
          </cell>
          <cell r="E86">
            <v>7.5</v>
          </cell>
        </row>
        <row r="87">
          <cell r="D87">
            <v>41339</v>
          </cell>
          <cell r="E87">
            <v>7.25</v>
          </cell>
        </row>
        <row r="88">
          <cell r="D88">
            <v>41290</v>
          </cell>
          <cell r="E88">
            <v>7.25</v>
          </cell>
        </row>
        <row r="89">
          <cell r="D89">
            <v>41241</v>
          </cell>
          <cell r="E89">
            <v>7.25</v>
          </cell>
        </row>
        <row r="90">
          <cell r="D90">
            <v>41192</v>
          </cell>
          <cell r="E90">
            <v>7.25</v>
          </cell>
        </row>
        <row r="91">
          <cell r="D91">
            <v>41150</v>
          </cell>
          <cell r="E91">
            <v>7.5</v>
          </cell>
        </row>
        <row r="92">
          <cell r="D92">
            <v>41101</v>
          </cell>
          <cell r="E92">
            <v>8</v>
          </cell>
        </row>
        <row r="93">
          <cell r="D93">
            <v>41059</v>
          </cell>
          <cell r="E93">
            <v>8.5</v>
          </cell>
        </row>
        <row r="94">
          <cell r="D94">
            <v>41017</v>
          </cell>
          <cell r="E94">
            <v>9</v>
          </cell>
        </row>
        <row r="95">
          <cell r="D95">
            <v>40975</v>
          </cell>
          <cell r="E95">
            <v>9.75</v>
          </cell>
        </row>
        <row r="96">
          <cell r="D96">
            <v>40926</v>
          </cell>
          <cell r="E96">
            <v>10.5</v>
          </cell>
        </row>
        <row r="97">
          <cell r="D97">
            <v>40877</v>
          </cell>
          <cell r="E97">
            <v>11</v>
          </cell>
        </row>
        <row r="98">
          <cell r="D98">
            <v>40835</v>
          </cell>
          <cell r="E98">
            <v>11.5</v>
          </cell>
        </row>
        <row r="99">
          <cell r="D99">
            <v>40786</v>
          </cell>
          <cell r="E99">
            <v>12</v>
          </cell>
        </row>
        <row r="100">
          <cell r="D100">
            <v>40744</v>
          </cell>
          <cell r="E100">
            <v>12.5</v>
          </cell>
        </row>
        <row r="101">
          <cell r="D101">
            <v>40702</v>
          </cell>
          <cell r="E101">
            <v>12.25</v>
          </cell>
        </row>
        <row r="102">
          <cell r="D102">
            <v>40653</v>
          </cell>
          <cell r="E102">
            <v>12</v>
          </cell>
        </row>
        <row r="103">
          <cell r="D103">
            <v>40604</v>
          </cell>
          <cell r="E103">
            <v>11.75</v>
          </cell>
        </row>
        <row r="104">
          <cell r="D104">
            <v>40562</v>
          </cell>
          <cell r="E104">
            <v>11.25</v>
          </cell>
        </row>
        <row r="105">
          <cell r="D105">
            <v>40520</v>
          </cell>
          <cell r="E105">
            <v>10.75</v>
          </cell>
        </row>
        <row r="106">
          <cell r="D106">
            <v>40471</v>
          </cell>
          <cell r="E106">
            <v>10.75</v>
          </cell>
        </row>
        <row r="107">
          <cell r="D107">
            <v>40422</v>
          </cell>
          <cell r="E107">
            <v>10.75</v>
          </cell>
        </row>
        <row r="108">
          <cell r="D108">
            <v>40380</v>
          </cell>
          <cell r="E108">
            <v>10.75</v>
          </cell>
        </row>
        <row r="109">
          <cell r="D109">
            <v>40338</v>
          </cell>
          <cell r="E109">
            <v>10.25</v>
          </cell>
        </row>
        <row r="110">
          <cell r="D110">
            <v>40296</v>
          </cell>
          <cell r="E110">
            <v>9.5</v>
          </cell>
        </row>
        <row r="111">
          <cell r="D111">
            <v>40254</v>
          </cell>
          <cell r="E111">
            <v>8.75</v>
          </cell>
        </row>
        <row r="112">
          <cell r="D112">
            <v>40205</v>
          </cell>
          <cell r="E112">
            <v>8.75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esourodireto.com.br/titulos/precos-e-taxas.htm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96996-A8B6-4A21-8D5D-CB9D19A4A0A9}">
  <dimension ref="B2:E54"/>
  <sheetViews>
    <sheetView showGridLines="0" tabSelected="1" zoomScale="89" zoomScaleNormal="89" workbookViewId="0">
      <selection activeCell="F24" sqref="F24"/>
    </sheetView>
  </sheetViews>
  <sheetFormatPr defaultRowHeight="13.8" x14ac:dyDescent="0.25"/>
  <cols>
    <col min="1" max="2" width="13.6640625" style="1" bestFit="1" customWidth="1"/>
    <col min="3" max="3" width="25.21875" style="2" bestFit="1" customWidth="1"/>
    <col min="4" max="4" width="13.6640625" style="1" bestFit="1" customWidth="1"/>
    <col min="5" max="5" width="17.5546875" style="1" bestFit="1" customWidth="1"/>
    <col min="6" max="6" width="13.6640625" style="1" bestFit="1" customWidth="1"/>
    <col min="7" max="7" width="14.44140625" style="1" customWidth="1"/>
    <col min="8" max="22" width="13.6640625" style="1" bestFit="1" customWidth="1"/>
    <col min="23" max="16384" width="8.88671875" style="1"/>
  </cols>
  <sheetData>
    <row r="2" spans="2:5" x14ac:dyDescent="0.25">
      <c r="B2" s="106" t="s">
        <v>8</v>
      </c>
      <c r="C2" s="106"/>
      <c r="D2" s="106"/>
      <c r="E2" s="106"/>
    </row>
    <row r="3" spans="2:5" ht="15" x14ac:dyDescent="0.25">
      <c r="B3" s="3" t="s">
        <v>0</v>
      </c>
      <c r="C3" s="3" t="s">
        <v>7</v>
      </c>
      <c r="D3" s="3" t="s">
        <v>2</v>
      </c>
      <c r="E3" s="3" t="s">
        <v>11</v>
      </c>
    </row>
    <row r="4" spans="2:5" ht="15" x14ac:dyDescent="0.25">
      <c r="B4" s="4">
        <v>2010</v>
      </c>
      <c r="C4" s="9">
        <v>61310</v>
      </c>
      <c r="D4" s="5">
        <v>190755799</v>
      </c>
      <c r="E4" s="6">
        <f>C4/D4</f>
        <v>3.2140569419858108E-4</v>
      </c>
    </row>
    <row r="5" spans="2:5" ht="15" x14ac:dyDescent="0.25">
      <c r="B5" s="4">
        <v>2022</v>
      </c>
      <c r="C5" s="9">
        <v>71922</v>
      </c>
      <c r="D5" s="5">
        <v>203062512</v>
      </c>
      <c r="E5" s="6">
        <f>C5/D5</f>
        <v>3.5418649799821248E-4</v>
      </c>
    </row>
    <row r="6" spans="2:5" ht="15.6" x14ac:dyDescent="0.3">
      <c r="D6" s="7" t="s">
        <v>3</v>
      </c>
      <c r="E6" s="8">
        <f>(E4+E5)/2</f>
        <v>3.3779609609839678E-4</v>
      </c>
    </row>
    <row r="8" spans="2:5" ht="37.799999999999997" customHeight="1" x14ac:dyDescent="0.3">
      <c r="B8" s="107" t="s">
        <v>9</v>
      </c>
      <c r="C8" s="107"/>
      <c r="D8" s="107"/>
      <c r="E8" s="13"/>
    </row>
    <row r="9" spans="2:5" ht="15.6" x14ac:dyDescent="0.3">
      <c r="B9" s="7" t="s">
        <v>0</v>
      </c>
      <c r="C9" s="7" t="s">
        <v>7</v>
      </c>
      <c r="D9" s="7" t="s">
        <v>2</v>
      </c>
    </row>
    <row r="10" spans="2:5" s="10" customFormat="1" ht="15" hidden="1" x14ac:dyDescent="0.25">
      <c r="B10" s="4">
        <v>2016</v>
      </c>
      <c r="C10" s="9">
        <f t="shared" ref="C10:C11" si="0">D10*E$6</f>
        <v>69301.094177471095</v>
      </c>
      <c r="D10" s="5">
        <v>205156587</v>
      </c>
    </row>
    <row r="11" spans="2:5" s="10" customFormat="1" ht="15" hidden="1" x14ac:dyDescent="0.25">
      <c r="B11" s="4">
        <v>2017</v>
      </c>
      <c r="C11" s="9">
        <f t="shared" si="0"/>
        <v>69857.83416444005</v>
      </c>
      <c r="D11" s="5">
        <v>206804741</v>
      </c>
    </row>
    <row r="12" spans="2:5" ht="15" hidden="1" x14ac:dyDescent="0.25">
      <c r="B12" s="4">
        <v>2018</v>
      </c>
      <c r="C12" s="9">
        <f>D12*E$6</f>
        <v>70428.763276425627</v>
      </c>
      <c r="D12" s="5">
        <v>208494900</v>
      </c>
    </row>
    <row r="13" spans="2:5" ht="15" hidden="1" x14ac:dyDescent="0.25">
      <c r="B13" s="4">
        <v>2019</v>
      </c>
      <c r="C13" s="9">
        <f>D13*E$6</f>
        <v>70986.878431301797</v>
      </c>
      <c r="D13" s="5">
        <v>210147125</v>
      </c>
    </row>
    <row r="14" spans="2:5" ht="15" hidden="1" x14ac:dyDescent="0.25">
      <c r="B14" s="4">
        <v>2020</v>
      </c>
      <c r="C14" s="9">
        <f t="shared" ref="C14:C54" si="1">D14*E$6</f>
        <v>71530.246084214508</v>
      </c>
      <c r="D14" s="5">
        <v>211755692</v>
      </c>
    </row>
    <row r="15" spans="2:5" ht="15" hidden="1" x14ac:dyDescent="0.25">
      <c r="B15" s="4">
        <v>2021</v>
      </c>
      <c r="C15" s="9">
        <f t="shared" si="1"/>
        <v>72057.865683127107</v>
      </c>
      <c r="D15" s="5">
        <v>213317639</v>
      </c>
    </row>
    <row r="16" spans="2:5" ht="15" hidden="1" x14ac:dyDescent="0.25">
      <c r="B16" s="4">
        <v>2022</v>
      </c>
      <c r="C16" s="9">
        <f t="shared" si="1"/>
        <v>72568.242142518284</v>
      </c>
      <c r="D16" s="5">
        <v>214828540</v>
      </c>
    </row>
    <row r="17" spans="2:4" ht="15" hidden="1" x14ac:dyDescent="0.25">
      <c r="B17" s="4">
        <v>2023</v>
      </c>
      <c r="C17" s="9">
        <f t="shared" si="1"/>
        <v>73059.981715695496</v>
      </c>
      <c r="D17" s="5">
        <v>216284269</v>
      </c>
    </row>
    <row r="18" spans="2:4" ht="15" x14ac:dyDescent="0.25">
      <c r="B18" s="4">
        <v>2024</v>
      </c>
      <c r="C18" s="9">
        <f t="shared" si="1"/>
        <v>73532.961444879809</v>
      </c>
      <c r="D18" s="5">
        <v>217684462</v>
      </c>
    </row>
    <row r="19" spans="2:4" ht="14.4" customHeight="1" x14ac:dyDescent="0.25">
      <c r="B19" s="4">
        <v>2025</v>
      </c>
      <c r="C19" s="9">
        <f t="shared" si="1"/>
        <v>73987.172547372684</v>
      </c>
      <c r="D19" s="5">
        <v>219029093</v>
      </c>
    </row>
    <row r="20" spans="2:4" ht="15" x14ac:dyDescent="0.25">
      <c r="B20" s="4">
        <v>2026</v>
      </c>
      <c r="C20" s="9">
        <f t="shared" si="1"/>
        <v>74422.063739945312</v>
      </c>
      <c r="D20" s="5">
        <v>220316530</v>
      </c>
    </row>
    <row r="21" spans="2:4" ht="15" x14ac:dyDescent="0.25">
      <c r="B21" s="4">
        <v>2027</v>
      </c>
      <c r="C21" s="9">
        <f t="shared" si="1"/>
        <v>74837.115154405808</v>
      </c>
      <c r="D21" s="5">
        <v>221545234</v>
      </c>
    </row>
    <row r="22" spans="2:4" ht="15" x14ac:dyDescent="0.25">
      <c r="B22" s="4">
        <v>2028</v>
      </c>
      <c r="C22" s="9">
        <f t="shared" si="1"/>
        <v>75231.807935950535</v>
      </c>
      <c r="D22" s="5">
        <v>222713669</v>
      </c>
    </row>
    <row r="23" spans="2:4" ht="15" x14ac:dyDescent="0.25">
      <c r="B23" s="4">
        <v>2029</v>
      </c>
      <c r="C23" s="9">
        <f t="shared" si="1"/>
        <v>75605.963052648571</v>
      </c>
      <c r="D23" s="5">
        <v>223821305</v>
      </c>
    </row>
    <row r="24" spans="2:4" ht="15" x14ac:dyDescent="0.25">
      <c r="B24" s="4">
        <v>2030</v>
      </c>
      <c r="C24" s="9">
        <f t="shared" si="1"/>
        <v>75959.688599250687</v>
      </c>
      <c r="D24" s="5">
        <v>224868462</v>
      </c>
    </row>
    <row r="25" spans="2:4" ht="15" x14ac:dyDescent="0.25">
      <c r="B25" s="4">
        <v>2031</v>
      </c>
      <c r="C25" s="9">
        <f t="shared" si="1"/>
        <v>76292.739673587188</v>
      </c>
      <c r="D25" s="5">
        <v>225854415</v>
      </c>
    </row>
    <row r="26" spans="2:4" ht="15" x14ac:dyDescent="0.25">
      <c r="B26" s="4">
        <v>2032</v>
      </c>
      <c r="C26" s="9">
        <f t="shared" si="1"/>
        <v>76604.656197375196</v>
      </c>
      <c r="D26" s="5">
        <v>226777802</v>
      </c>
    </row>
    <row r="27" spans="2:4" ht="15" x14ac:dyDescent="0.25">
      <c r="B27" s="4">
        <v>2033</v>
      </c>
      <c r="C27" s="9">
        <f t="shared" si="1"/>
        <v>76895.423983178684</v>
      </c>
      <c r="D27" s="5">
        <v>227638581</v>
      </c>
    </row>
    <row r="28" spans="2:4" ht="15" x14ac:dyDescent="0.25">
      <c r="B28" s="4">
        <v>2034</v>
      </c>
      <c r="C28" s="9">
        <f t="shared" si="1"/>
        <v>77165.168015553194</v>
      </c>
      <c r="D28" s="5">
        <v>228437122</v>
      </c>
    </row>
    <row r="29" spans="2:4" ht="15" x14ac:dyDescent="0.25">
      <c r="B29" s="4">
        <v>2035</v>
      </c>
      <c r="C29" s="9">
        <f t="shared" si="1"/>
        <v>77413.97612148372</v>
      </c>
      <c r="D29" s="5">
        <v>229173685</v>
      </c>
    </row>
    <row r="30" spans="2:4" ht="15" x14ac:dyDescent="0.25">
      <c r="B30" s="4">
        <v>2036</v>
      </c>
      <c r="C30" s="9">
        <f t="shared" si="1"/>
        <v>77641.700346280166</v>
      </c>
      <c r="D30" s="5">
        <v>229847832</v>
      </c>
    </row>
    <row r="31" spans="2:4" ht="15" x14ac:dyDescent="0.25">
      <c r="B31" s="4">
        <v>2037</v>
      </c>
      <c r="C31" s="9">
        <f t="shared" si="1"/>
        <v>77848.171454098381</v>
      </c>
      <c r="D31" s="5">
        <v>230459062</v>
      </c>
    </row>
    <row r="32" spans="2:4" ht="15" x14ac:dyDescent="0.25">
      <c r="B32" s="4">
        <v>2038</v>
      </c>
      <c r="C32" s="9">
        <f t="shared" si="1"/>
        <v>78033.556991802048</v>
      </c>
      <c r="D32" s="5">
        <v>231007871</v>
      </c>
    </row>
    <row r="33" spans="2:4" ht="15" x14ac:dyDescent="0.25">
      <c r="B33" s="4">
        <v>2039</v>
      </c>
      <c r="C33" s="9">
        <f t="shared" si="1"/>
        <v>78197.989037664724</v>
      </c>
      <c r="D33" s="5">
        <v>231494650</v>
      </c>
    </row>
    <row r="34" spans="2:4" ht="15" x14ac:dyDescent="0.25">
      <c r="B34" s="4">
        <v>2040</v>
      </c>
      <c r="C34" s="9">
        <f t="shared" si="1"/>
        <v>78341.644259044682</v>
      </c>
      <c r="D34" s="5">
        <v>231919922</v>
      </c>
    </row>
    <row r="35" spans="2:4" ht="15" x14ac:dyDescent="0.25">
      <c r="B35" s="4">
        <v>2041</v>
      </c>
      <c r="C35" s="9">
        <f t="shared" si="1"/>
        <v>78464.707092610392</v>
      </c>
      <c r="D35" s="5">
        <v>232284233</v>
      </c>
    </row>
    <row r="36" spans="2:4" ht="15" x14ac:dyDescent="0.25">
      <c r="B36" s="4">
        <v>2042</v>
      </c>
      <c r="C36" s="9">
        <f t="shared" si="1"/>
        <v>78567.514321069641</v>
      </c>
      <c r="D36" s="5">
        <v>232588580</v>
      </c>
    </row>
    <row r="37" spans="2:4" ht="15" x14ac:dyDescent="0.25">
      <c r="B37" s="4">
        <v>2043</v>
      </c>
      <c r="C37" s="9">
        <f t="shared" si="1"/>
        <v>78650.438195720359</v>
      </c>
      <c r="D37" s="5">
        <v>232834065</v>
      </c>
    </row>
    <row r="38" spans="2:4" ht="15" x14ac:dyDescent="0.25">
      <c r="B38" s="4">
        <v>2044</v>
      </c>
      <c r="C38" s="9">
        <f t="shared" si="1"/>
        <v>78713.58275776013</v>
      </c>
      <c r="D38" s="5">
        <v>233020996</v>
      </c>
    </row>
    <row r="39" spans="2:4" ht="15" x14ac:dyDescent="0.25">
      <c r="B39" s="4">
        <v>2045</v>
      </c>
      <c r="C39" s="9">
        <f t="shared" si="1"/>
        <v>78757.033131805176</v>
      </c>
      <c r="D39" s="5">
        <v>233149625</v>
      </c>
    </row>
    <row r="40" spans="2:4" ht="15" x14ac:dyDescent="0.25">
      <c r="B40" s="4">
        <v>2046</v>
      </c>
      <c r="C40" s="9">
        <f t="shared" si="1"/>
        <v>78780.89234566479</v>
      </c>
      <c r="D40" s="5">
        <v>233220257</v>
      </c>
    </row>
    <row r="41" spans="2:4" ht="15" x14ac:dyDescent="0.25">
      <c r="B41" s="4">
        <v>2047</v>
      </c>
      <c r="C41" s="9">
        <f t="shared" si="1"/>
        <v>78785.423204701758</v>
      </c>
      <c r="D41" s="5">
        <v>233233670</v>
      </c>
    </row>
    <row r="42" spans="2:4" ht="15" x14ac:dyDescent="0.25">
      <c r="B42" s="4">
        <v>2048</v>
      </c>
      <c r="C42" s="9">
        <f t="shared" si="1"/>
        <v>78770.83446690347</v>
      </c>
      <c r="D42" s="5">
        <v>233190482</v>
      </c>
    </row>
    <row r="43" spans="2:4" ht="15" x14ac:dyDescent="0.25">
      <c r="B43" s="4">
        <v>2049</v>
      </c>
      <c r="C43" s="9">
        <f t="shared" si="1"/>
        <v>78737.0487769639</v>
      </c>
      <c r="D43" s="5">
        <v>233090464</v>
      </c>
    </row>
    <row r="44" spans="2:4" ht="15" x14ac:dyDescent="0.25">
      <c r="B44" s="4">
        <v>2050</v>
      </c>
      <c r="C44" s="9">
        <f t="shared" si="1"/>
        <v>78683.951284210387</v>
      </c>
      <c r="D44" s="5">
        <v>232933276</v>
      </c>
    </row>
    <row r="45" spans="2:4" ht="15" x14ac:dyDescent="0.25">
      <c r="B45" s="4">
        <v>2051</v>
      </c>
      <c r="C45" s="9">
        <f t="shared" si="1"/>
        <v>78611.626775463039</v>
      </c>
      <c r="D45" s="5">
        <v>232719169</v>
      </c>
    </row>
    <row r="46" spans="2:4" ht="15" x14ac:dyDescent="0.25">
      <c r="B46" s="4">
        <v>2052</v>
      </c>
      <c r="C46" s="9">
        <f t="shared" si="1"/>
        <v>78520.319815095456</v>
      </c>
      <c r="D46" s="5">
        <v>232448867</v>
      </c>
    </row>
    <row r="47" spans="2:4" ht="15" x14ac:dyDescent="0.25">
      <c r="B47" s="4">
        <v>2053</v>
      </c>
      <c r="C47" s="9">
        <f t="shared" si="1"/>
        <v>78410.056751203112</v>
      </c>
      <c r="D47" s="5">
        <v>232122448</v>
      </c>
    </row>
    <row r="48" spans="2:4" ht="15" x14ac:dyDescent="0.25">
      <c r="B48" s="4">
        <v>2054</v>
      </c>
      <c r="C48" s="9">
        <f t="shared" si="1"/>
        <v>78280.743000879113</v>
      </c>
      <c r="D48" s="5">
        <v>231739632</v>
      </c>
    </row>
    <row r="49" spans="2:4" ht="15" x14ac:dyDescent="0.25">
      <c r="B49" s="4">
        <v>2055</v>
      </c>
      <c r="C49" s="9">
        <f t="shared" si="1"/>
        <v>78132.346135698215</v>
      </c>
      <c r="D49" s="5">
        <v>231300323</v>
      </c>
    </row>
    <row r="50" spans="2:4" ht="15" x14ac:dyDescent="0.25">
      <c r="B50" s="4">
        <v>2056</v>
      </c>
      <c r="C50" s="9">
        <f t="shared" si="1"/>
        <v>77965.103288519895</v>
      </c>
      <c r="D50" s="5">
        <v>230805223</v>
      </c>
    </row>
    <row r="51" spans="2:4" ht="15" x14ac:dyDescent="0.25">
      <c r="B51" s="4">
        <v>2057</v>
      </c>
      <c r="C51" s="9">
        <f t="shared" si="1"/>
        <v>77779.471497462175</v>
      </c>
      <c r="D51" s="5">
        <v>230255685</v>
      </c>
    </row>
    <row r="52" spans="2:4" ht="15" x14ac:dyDescent="0.25">
      <c r="B52" s="4">
        <v>2058</v>
      </c>
      <c r="C52" s="9">
        <f t="shared" si="1"/>
        <v>77575.645670872502</v>
      </c>
      <c r="D52" s="5">
        <v>229652286</v>
      </c>
    </row>
    <row r="53" spans="2:4" ht="15" x14ac:dyDescent="0.25">
      <c r="B53" s="4">
        <v>2059</v>
      </c>
      <c r="C53" s="9">
        <f t="shared" si="1"/>
        <v>77353.799773740364</v>
      </c>
      <c r="D53" s="5">
        <v>228995541</v>
      </c>
    </row>
    <row r="54" spans="2:4" ht="15" x14ac:dyDescent="0.25">
      <c r="B54" s="4">
        <v>2060</v>
      </c>
      <c r="C54" s="9">
        <f t="shared" si="1"/>
        <v>77114.236809163951</v>
      </c>
      <c r="D54" s="5">
        <v>228286347</v>
      </c>
    </row>
  </sheetData>
  <mergeCells count="2">
    <mergeCell ref="B2:E2"/>
    <mergeCell ref="B8:D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EDC3A-AB5A-4C16-9D63-7201F981CB9D}">
  <dimension ref="A1:K53"/>
  <sheetViews>
    <sheetView showGridLines="0" workbookViewId="0">
      <selection activeCell="O10" sqref="O10"/>
    </sheetView>
  </sheetViews>
  <sheetFormatPr defaultRowHeight="13.8" x14ac:dyDescent="0.25"/>
  <cols>
    <col min="1" max="1" width="8.88671875" style="1"/>
    <col min="2" max="2" width="5.88671875" style="1" bestFit="1" customWidth="1"/>
    <col min="3" max="4" width="11.109375" style="1" customWidth="1"/>
    <col min="5" max="5" width="14.109375" style="1" customWidth="1"/>
    <col min="6" max="6" width="11.77734375" style="1" customWidth="1"/>
    <col min="7" max="7" width="10" style="1" customWidth="1"/>
    <col min="8" max="8" width="25.109375" style="1" bestFit="1" customWidth="1"/>
    <col min="9" max="9" width="8.88671875" style="1"/>
    <col min="10" max="10" width="11.88671875" style="1" bestFit="1" customWidth="1"/>
    <col min="11" max="16384" width="8.88671875" style="1"/>
  </cols>
  <sheetData>
    <row r="1" spans="1:11" x14ac:dyDescent="0.25">
      <c r="G1" s="108" t="s">
        <v>12</v>
      </c>
      <c r="H1" s="108"/>
      <c r="I1" s="108"/>
      <c r="J1" s="108"/>
    </row>
    <row r="2" spans="1:11" x14ac:dyDescent="0.25">
      <c r="B2" s="106" t="s">
        <v>5</v>
      </c>
      <c r="C2" s="106"/>
      <c r="D2" s="106"/>
      <c r="E2" s="106"/>
      <c r="G2" s="109"/>
      <c r="H2" s="109"/>
      <c r="I2" s="109"/>
      <c r="J2" s="109"/>
    </row>
    <row r="3" spans="1:11" ht="27.6" x14ac:dyDescent="0.25">
      <c r="B3" s="67" t="str">
        <f>'Projeção população'!B9</f>
        <v>Ano</v>
      </c>
      <c r="C3" s="67" t="str">
        <f>'Projeção população'!C9</f>
        <v>Araranguá</v>
      </c>
      <c r="D3" s="68" t="s">
        <v>1</v>
      </c>
      <c r="E3" s="69" t="s">
        <v>4</v>
      </c>
      <c r="G3" s="67" t="str">
        <f>'Projeção Óbitos'!B3</f>
        <v>Ano</v>
      </c>
      <c r="H3" s="67" t="str">
        <f>'Projeção Óbitos'!C3</f>
        <v>Araranguá</v>
      </c>
      <c r="I3" s="67" t="str">
        <f>'Projeção Óbitos'!D3</f>
        <v>Óbitos</v>
      </c>
      <c r="J3" s="70" t="str">
        <f>'Projeção Óbitos'!E3</f>
        <v>Óbito/ população</v>
      </c>
    </row>
    <row r="4" spans="1:11" x14ac:dyDescent="0.25">
      <c r="B4" s="71">
        <v>2016</v>
      </c>
      <c r="C4" s="72">
        <f>'Projeção população'!C10</f>
        <v>69301.094177471095</v>
      </c>
      <c r="D4" s="73">
        <v>456</v>
      </c>
      <c r="E4" s="74">
        <f t="shared" ref="E4:E5" si="0">D4/C4</f>
        <v>6.5799826887616413E-3</v>
      </c>
      <c r="G4" s="71">
        <v>2016</v>
      </c>
      <c r="H4" s="72">
        <f>C4</f>
        <v>69301.094177471095</v>
      </c>
      <c r="I4" s="75">
        <f>D4</f>
        <v>456</v>
      </c>
      <c r="J4" s="74">
        <f>'Projeção Óbitos'!E4</f>
        <v>6.5799826887616413E-3</v>
      </c>
    </row>
    <row r="5" spans="1:11" x14ac:dyDescent="0.25">
      <c r="B5" s="71">
        <v>2017</v>
      </c>
      <c r="C5" s="72">
        <f>'Projeção população'!C11</f>
        <v>69857.83416444005</v>
      </c>
      <c r="D5" s="73">
        <v>431</v>
      </c>
      <c r="E5" s="74">
        <f t="shared" si="0"/>
        <v>6.1696730961549517E-3</v>
      </c>
      <c r="G5" s="71">
        <v>2017</v>
      </c>
      <c r="H5" s="72">
        <f>C5</f>
        <v>69857.83416444005</v>
      </c>
      <c r="I5" s="75">
        <f>D5</f>
        <v>431</v>
      </c>
      <c r="J5" s="74">
        <f>'Projeção Óbitos'!E5</f>
        <v>6.1696730961549517E-3</v>
      </c>
    </row>
    <row r="6" spans="1:11" x14ac:dyDescent="0.25">
      <c r="B6" s="14">
        <f>'Projeção população'!B12</f>
        <v>2018</v>
      </c>
      <c r="C6" s="76">
        <f>'Projeção população'!C12</f>
        <v>70428.763276425627</v>
      </c>
      <c r="D6" s="76">
        <v>489</v>
      </c>
      <c r="E6" s="74">
        <f>D6/C6</f>
        <v>6.9431859548736569E-3</v>
      </c>
      <c r="G6" s="105">
        <f>'Projeção Óbitos'!B6</f>
        <v>2018</v>
      </c>
      <c r="H6" s="76">
        <f>'Projeção Óbitos'!C6</f>
        <v>70428.763276425627</v>
      </c>
      <c r="I6" s="76">
        <f>'Projeção Óbitos'!D6</f>
        <v>489</v>
      </c>
      <c r="J6" s="74">
        <f>'Projeção Óbitos'!E6</f>
        <v>6.9431859548736569E-3</v>
      </c>
    </row>
    <row r="7" spans="1:11" x14ac:dyDescent="0.25">
      <c r="B7" s="14">
        <f>'Projeção população'!B13</f>
        <v>2019</v>
      </c>
      <c r="C7" s="76">
        <f>'Projeção população'!C13</f>
        <v>70986.878431301797</v>
      </c>
      <c r="D7" s="76">
        <v>481</v>
      </c>
      <c r="E7" s="74">
        <f t="shared" ref="E7:E11" si="1">D7/C7</f>
        <v>6.7759001470319921E-3</v>
      </c>
      <c r="G7" s="105">
        <f>'Projeção Óbitos'!B7</f>
        <v>2019</v>
      </c>
      <c r="H7" s="76">
        <f>'Projeção Óbitos'!C7</f>
        <v>70986.878431301797</v>
      </c>
      <c r="I7" s="76">
        <f>'Projeção Óbitos'!D7</f>
        <v>481</v>
      </c>
      <c r="J7" s="74">
        <f>'Projeção Óbitos'!E7</f>
        <v>6.7759001470319921E-3</v>
      </c>
    </row>
    <row r="8" spans="1:11" x14ac:dyDescent="0.25">
      <c r="B8" s="14">
        <f>'Projeção população'!B14</f>
        <v>2020</v>
      </c>
      <c r="C8" s="76">
        <f>'Projeção população'!C14</f>
        <v>71530.246084214508</v>
      </c>
      <c r="D8" s="76">
        <v>478</v>
      </c>
      <c r="E8" s="74">
        <f t="shared" si="1"/>
        <v>6.6824878448934399E-3</v>
      </c>
      <c r="G8" s="105">
        <f>'Projeção Óbitos'!B8</f>
        <v>2020</v>
      </c>
      <c r="H8" s="76">
        <f>'Projeção Óbitos'!C8</f>
        <v>71530.246084214508</v>
      </c>
      <c r="I8" s="76">
        <f>'Projeção Óbitos'!D8</f>
        <v>478</v>
      </c>
      <c r="J8" s="74">
        <f>'Projeção Óbitos'!E8</f>
        <v>6.6824878448934399E-3</v>
      </c>
    </row>
    <row r="9" spans="1:11" x14ac:dyDescent="0.25">
      <c r="B9" s="14">
        <f>'Projeção população'!B15</f>
        <v>2021</v>
      </c>
      <c r="C9" s="76">
        <f>'Projeção população'!C15</f>
        <v>72057.865683127107</v>
      </c>
      <c r="D9" s="76">
        <v>635</v>
      </c>
      <c r="E9" s="74">
        <f t="shared" si="1"/>
        <v>8.8123620368163371E-3</v>
      </c>
      <c r="G9" s="105">
        <v>2023</v>
      </c>
      <c r="H9" s="76">
        <f>C11</f>
        <v>73059.981715695496</v>
      </c>
      <c r="I9" s="76">
        <f>D11</f>
        <v>508</v>
      </c>
      <c r="J9" s="74">
        <f>'Projeção Óbitos'!E11</f>
        <v>6.9531908997298069E-3</v>
      </c>
    </row>
    <row r="10" spans="1:11" x14ac:dyDescent="0.25">
      <c r="B10" s="14">
        <f>'Projeção população'!B16</f>
        <v>2022</v>
      </c>
      <c r="C10" s="76">
        <f>'Projeção população'!C16</f>
        <v>72568.242142518284</v>
      </c>
      <c r="D10" s="76">
        <v>586</v>
      </c>
      <c r="E10" s="74">
        <f t="shared" si="1"/>
        <v>8.0751577094721732E-3</v>
      </c>
      <c r="I10" s="77" t="str">
        <f>'Projeção Óbitos'!D12</f>
        <v>Média</v>
      </c>
      <c r="J10" s="78">
        <f>SUM(J4:J9)/6</f>
        <v>6.6840701052409144E-3</v>
      </c>
    </row>
    <row r="11" spans="1:11" x14ac:dyDescent="0.25">
      <c r="A11" s="1" t="s">
        <v>10</v>
      </c>
      <c r="B11" s="14">
        <v>2023</v>
      </c>
      <c r="C11" s="76">
        <f>'Projeção população'!C17</f>
        <v>73059.981715695496</v>
      </c>
      <c r="D11" s="76">
        <f>2*254</f>
        <v>508</v>
      </c>
      <c r="E11" s="74">
        <f t="shared" si="1"/>
        <v>6.9531908997298069E-3</v>
      </c>
    </row>
    <row r="12" spans="1:11" x14ac:dyDescent="0.25">
      <c r="C12" s="79"/>
      <c r="D12" s="80" t="s">
        <v>3</v>
      </c>
      <c r="E12" s="81">
        <f>SUM(E4:E11)/8</f>
        <v>7.1239925472167502E-3</v>
      </c>
    </row>
    <row r="13" spans="1:11" x14ac:dyDescent="0.25">
      <c r="C13" s="79"/>
      <c r="D13" s="79"/>
      <c r="E13" s="82"/>
      <c r="F13" s="83">
        <v>0.26800000000000002</v>
      </c>
      <c r="G13" s="42" t="s">
        <v>74</v>
      </c>
      <c r="H13" s="42"/>
      <c r="I13" s="42"/>
      <c r="J13" s="42"/>
      <c r="K13" s="42"/>
    </row>
    <row r="14" spans="1:11" x14ac:dyDescent="0.25">
      <c r="B14" s="111" t="str">
        <f>'Projeção Óbitos'!B3</f>
        <v>Ano</v>
      </c>
      <c r="C14" s="111" t="str">
        <f>'Projeção Óbitos'!C3</f>
        <v>Araranguá</v>
      </c>
      <c r="D14" s="110" t="s">
        <v>6</v>
      </c>
      <c r="E14" s="110" t="s">
        <v>360</v>
      </c>
      <c r="F14" s="110"/>
      <c r="G14" s="110"/>
      <c r="H14" s="10"/>
      <c r="I14" s="10"/>
      <c r="J14" s="10"/>
      <c r="K14" s="10"/>
    </row>
    <row r="15" spans="1:11" ht="33" customHeight="1" x14ac:dyDescent="0.25">
      <c r="B15" s="111"/>
      <c r="C15" s="111"/>
      <c r="D15" s="110"/>
      <c r="E15" s="70" t="s">
        <v>361</v>
      </c>
      <c r="F15" s="70" t="s">
        <v>13</v>
      </c>
      <c r="G15" s="70" t="s">
        <v>14</v>
      </c>
    </row>
    <row r="16" spans="1:11" ht="14.4" hidden="1" x14ac:dyDescent="0.3">
      <c r="A16"/>
      <c r="B16" s="14">
        <f>'Projeção população'!B17</f>
        <v>2023</v>
      </c>
      <c r="C16" s="76">
        <f>'Projeção população'!C17</f>
        <v>73059.981715695496</v>
      </c>
      <c r="D16" s="76">
        <f>B16*J$10</f>
        <v>13.52187382290237</v>
      </c>
      <c r="F16" s="14"/>
      <c r="G16" s="14"/>
    </row>
    <row r="17" spans="2:7" x14ac:dyDescent="0.25">
      <c r="B17" s="14">
        <f>'Projeção população'!B18</f>
        <v>2024</v>
      </c>
      <c r="C17" s="76">
        <f>'Projeção população'!C18</f>
        <v>73532.961444879809</v>
      </c>
      <c r="D17" s="76">
        <f t="shared" ref="D17:D22" si="2">C17*J$10</f>
        <v>491.49946934355387</v>
      </c>
      <c r="E17" s="84">
        <f>D17/4</f>
        <v>122.87486733588847</v>
      </c>
      <c r="F17" s="11">
        <f>E17*$F$13</f>
        <v>32.930464446018114</v>
      </c>
      <c r="G17" s="76">
        <f>E17-F17</f>
        <v>89.944402889870361</v>
      </c>
    </row>
    <row r="18" spans="2:7" x14ac:dyDescent="0.25">
      <c r="B18" s="14">
        <f>'Projeção população'!B19</f>
        <v>2025</v>
      </c>
      <c r="C18" s="76">
        <f>'Projeção população'!C19</f>
        <v>73987.172547372684</v>
      </c>
      <c r="D18" s="76">
        <f t="shared" si="2"/>
        <v>494.53544819519504</v>
      </c>
      <c r="E18" s="84">
        <f t="shared" ref="E18:E53" si="3">D18/4</f>
        <v>123.63386204879876</v>
      </c>
      <c r="F18" s="11">
        <f t="shared" ref="F18:F53" si="4">E18*$F$13</f>
        <v>33.133875029078069</v>
      </c>
      <c r="G18" s="76">
        <f t="shared" ref="G18:G53" si="5">E18-F18</f>
        <v>90.499987019720692</v>
      </c>
    </row>
    <row r="19" spans="2:7" x14ac:dyDescent="0.25">
      <c r="B19" s="14">
        <f>'Projeção população'!B20</f>
        <v>2026</v>
      </c>
      <c r="C19" s="76">
        <f>'Projeção população'!C20</f>
        <v>74422.063739945312</v>
      </c>
      <c r="D19" s="76">
        <f t="shared" si="2"/>
        <v>497.44229141450228</v>
      </c>
      <c r="E19" s="84">
        <f t="shared" si="3"/>
        <v>124.36057285362557</v>
      </c>
      <c r="F19" s="11">
        <f t="shared" si="4"/>
        <v>33.328633524771654</v>
      </c>
      <c r="G19" s="76">
        <f t="shared" si="5"/>
        <v>91.031939328853923</v>
      </c>
    </row>
    <row r="20" spans="2:7" x14ac:dyDescent="0.25">
      <c r="B20" s="14">
        <f>'Projeção população'!B21</f>
        <v>2027</v>
      </c>
      <c r="C20" s="76">
        <f>'Projeção população'!C21</f>
        <v>74837.115154405808</v>
      </c>
      <c r="D20" s="76">
        <f t="shared" si="2"/>
        <v>500.21652416603564</v>
      </c>
      <c r="E20" s="84">
        <f t="shared" si="3"/>
        <v>125.05413104150891</v>
      </c>
      <c r="F20" s="11">
        <f t="shared" si="4"/>
        <v>33.514507119124389</v>
      </c>
      <c r="G20" s="76">
        <f t="shared" si="5"/>
        <v>91.539623922384521</v>
      </c>
    </row>
    <row r="21" spans="2:7" x14ac:dyDescent="0.25">
      <c r="B21" s="14">
        <f>'Projeção população'!B22</f>
        <v>2028</v>
      </c>
      <c r="C21" s="76">
        <f>'Projeção população'!C22</f>
        <v>75231.807935950535</v>
      </c>
      <c r="D21" s="76">
        <f t="shared" si="2"/>
        <v>502.85467838791317</v>
      </c>
      <c r="E21" s="84">
        <f t="shared" si="3"/>
        <v>125.71366959697829</v>
      </c>
      <c r="F21" s="11">
        <f t="shared" si="4"/>
        <v>33.691263451990181</v>
      </c>
      <c r="G21" s="76">
        <f t="shared" si="5"/>
        <v>92.022406144988111</v>
      </c>
    </row>
    <row r="22" spans="2:7" x14ac:dyDescent="0.25">
      <c r="B22" s="14">
        <f>'Projeção população'!B23</f>
        <v>2029</v>
      </c>
      <c r="C22" s="76">
        <f>'Projeção população'!C23</f>
        <v>75605.963052648571</v>
      </c>
      <c r="D22" s="76">
        <f t="shared" si="2"/>
        <v>505.35555741815739</v>
      </c>
      <c r="E22" s="84">
        <f t="shared" si="3"/>
        <v>126.33888935453935</v>
      </c>
      <c r="F22" s="11">
        <f t="shared" si="4"/>
        <v>33.858822347016549</v>
      </c>
      <c r="G22" s="76">
        <f t="shared" si="5"/>
        <v>92.480067007522791</v>
      </c>
    </row>
    <row r="23" spans="2:7" x14ac:dyDescent="0.25">
      <c r="B23" s="14">
        <f>'Projeção população'!B24</f>
        <v>2030</v>
      </c>
      <c r="C23" s="76">
        <f>'Projeção população'!C24</f>
        <v>75959.688599250687</v>
      </c>
      <c r="D23" s="76">
        <f t="shared" ref="D23:D53" si="6">C23*J$10</f>
        <v>507.71988376966061</v>
      </c>
      <c r="E23" s="84">
        <f t="shared" si="3"/>
        <v>126.92997094241515</v>
      </c>
      <c r="F23" s="11">
        <f t="shared" si="4"/>
        <v>34.017232212567265</v>
      </c>
      <c r="G23" s="76">
        <f t="shared" si="5"/>
        <v>92.912738729847888</v>
      </c>
    </row>
    <row r="24" spans="2:7" x14ac:dyDescent="0.25">
      <c r="B24" s="14">
        <f>'Projeção população'!B25</f>
        <v>2031</v>
      </c>
      <c r="C24" s="76">
        <f>'Projeção população'!C25</f>
        <v>76292.739673587188</v>
      </c>
      <c r="D24" s="76">
        <f t="shared" si="6"/>
        <v>509.94602049915159</v>
      </c>
      <c r="E24" s="84">
        <f t="shared" si="3"/>
        <v>127.4865051247879</v>
      </c>
      <c r="F24" s="11">
        <f t="shared" si="4"/>
        <v>34.166383373443161</v>
      </c>
      <c r="G24" s="76">
        <f t="shared" si="5"/>
        <v>93.320121751344743</v>
      </c>
    </row>
    <row r="25" spans="2:7" x14ac:dyDescent="0.25">
      <c r="B25" s="14">
        <f>'Projeção população'!B26</f>
        <v>2032</v>
      </c>
      <c r="C25" s="76">
        <f>'Projeção população'!C26</f>
        <v>76604.656197375196</v>
      </c>
      <c r="D25" s="76">
        <f t="shared" si="6"/>
        <v>512.03089241113366</v>
      </c>
      <c r="E25" s="84">
        <f t="shared" si="3"/>
        <v>128.00772310278342</v>
      </c>
      <c r="F25" s="11">
        <f t="shared" si="4"/>
        <v>34.306069791545958</v>
      </c>
      <c r="G25" s="76">
        <f t="shared" si="5"/>
        <v>93.701653311237465</v>
      </c>
    </row>
    <row r="26" spans="2:7" x14ac:dyDescent="0.25">
      <c r="B26" s="14">
        <f>'Projeção população'!B27</f>
        <v>2033</v>
      </c>
      <c r="C26" s="76">
        <f>'Projeção população'!C27</f>
        <v>76895.423983178684</v>
      </c>
      <c r="D26" s="76">
        <f t="shared" si="6"/>
        <v>513.97440467578986</v>
      </c>
      <c r="E26" s="84">
        <f t="shared" si="3"/>
        <v>128.49360116894746</v>
      </c>
      <c r="F26" s="11">
        <f t="shared" si="4"/>
        <v>34.436285113277926</v>
      </c>
      <c r="G26" s="76">
        <f t="shared" si="5"/>
        <v>94.057316055669531</v>
      </c>
    </row>
    <row r="27" spans="2:7" x14ac:dyDescent="0.25">
      <c r="B27" s="14">
        <f>'Projeção população'!B28</f>
        <v>2034</v>
      </c>
      <c r="C27" s="76">
        <f>'Projeção população'!C28</f>
        <v>77165.168015553194</v>
      </c>
      <c r="D27" s="76">
        <f t="shared" si="6"/>
        <v>515.77739269865151</v>
      </c>
      <c r="E27" s="84">
        <f t="shared" si="3"/>
        <v>128.94434817466288</v>
      </c>
      <c r="F27" s="11">
        <f t="shared" si="4"/>
        <v>34.557085310809654</v>
      </c>
      <c r="G27" s="76">
        <f t="shared" si="5"/>
        <v>94.387262863853223</v>
      </c>
    </row>
    <row r="28" spans="2:7" x14ac:dyDescent="0.25">
      <c r="B28" s="14">
        <f>'Projeção população'!B29</f>
        <v>2035</v>
      </c>
      <c r="C28" s="76">
        <f>'Projeção população'!C29</f>
        <v>77413.97612148372</v>
      </c>
      <c r="D28" s="76">
        <f t="shared" si="6"/>
        <v>517.44044352144329</v>
      </c>
      <c r="E28" s="84">
        <f t="shared" si="3"/>
        <v>129.36011088036082</v>
      </c>
      <c r="F28" s="11">
        <f t="shared" si="4"/>
        <v>34.6685097159367</v>
      </c>
      <c r="G28" s="76">
        <f t="shared" si="5"/>
        <v>94.691601164424128</v>
      </c>
    </row>
    <row r="29" spans="2:7" x14ac:dyDescent="0.25">
      <c r="B29" s="14">
        <f>'Projeção população'!B30</f>
        <v>2036</v>
      </c>
      <c r="C29" s="76">
        <f>'Projeção população'!C30</f>
        <v>77641.700346280166</v>
      </c>
      <c r="D29" s="76">
        <f t="shared" si="6"/>
        <v>518.96256820464441</v>
      </c>
      <c r="E29" s="84">
        <f t="shared" si="3"/>
        <v>129.7406420511611</v>
      </c>
      <c r="F29" s="11">
        <f t="shared" si="4"/>
        <v>34.770492069711175</v>
      </c>
      <c r="G29" s="76">
        <f t="shared" si="5"/>
        <v>94.970149981449936</v>
      </c>
    </row>
    <row r="30" spans="2:7" x14ac:dyDescent="0.25">
      <c r="B30" s="14">
        <f>'Projeção população'!B31</f>
        <v>2037</v>
      </c>
      <c r="C30" s="76">
        <f>'Projeção população'!C31</f>
        <v>77848.171454098381</v>
      </c>
      <c r="D30" s="76">
        <f t="shared" si="6"/>
        <v>520.34263556400811</v>
      </c>
      <c r="E30" s="84">
        <f t="shared" si="3"/>
        <v>130.08565889100203</v>
      </c>
      <c r="F30" s="11">
        <f t="shared" si="4"/>
        <v>34.862956582788549</v>
      </c>
      <c r="G30" s="76">
        <f t="shared" si="5"/>
        <v>95.222702308213485</v>
      </c>
    </row>
    <row r="31" spans="2:7" x14ac:dyDescent="0.25">
      <c r="B31" s="14">
        <f>'Projeção população'!B32</f>
        <v>2038</v>
      </c>
      <c r="C31" s="76">
        <f>'Projeção população'!C32</f>
        <v>78033.556991802048</v>
      </c>
      <c r="D31" s="76">
        <f t="shared" si="6"/>
        <v>521.58176549451719</v>
      </c>
      <c r="E31" s="84">
        <f t="shared" si="3"/>
        <v>130.3954413736293</v>
      </c>
      <c r="F31" s="11">
        <f t="shared" si="4"/>
        <v>34.94597828813265</v>
      </c>
      <c r="G31" s="76">
        <f t="shared" si="5"/>
        <v>95.449463085496646</v>
      </c>
    </row>
    <row r="32" spans="2:7" x14ac:dyDescent="0.25">
      <c r="B32" s="14">
        <f>'Projeção população'!B33</f>
        <v>2039</v>
      </c>
      <c r="C32" s="76">
        <f>'Projeção população'!C33</f>
        <v>78197.989037664724</v>
      </c>
      <c r="D32" s="76">
        <f t="shared" si="6"/>
        <v>522.68084081661152</v>
      </c>
      <c r="E32" s="84">
        <f t="shared" si="3"/>
        <v>130.67021020415288</v>
      </c>
      <c r="F32" s="11">
        <f t="shared" si="4"/>
        <v>35.019616334712971</v>
      </c>
      <c r="G32" s="76">
        <f t="shared" si="5"/>
        <v>95.650593869439916</v>
      </c>
    </row>
    <row r="33" spans="2:7" x14ac:dyDescent="0.25">
      <c r="B33" s="14">
        <f>'Projeção população'!B34</f>
        <v>2040</v>
      </c>
      <c r="C33" s="76">
        <f>'Projeção população'!C34</f>
        <v>78341.644259044682</v>
      </c>
      <c r="D33" s="76">
        <f t="shared" si="6"/>
        <v>523.64104238729908</v>
      </c>
      <c r="E33" s="84">
        <f t="shared" si="3"/>
        <v>130.91026059682477</v>
      </c>
      <c r="F33" s="11">
        <f t="shared" si="4"/>
        <v>35.083949839949042</v>
      </c>
      <c r="G33" s="76">
        <f t="shared" si="5"/>
        <v>95.826310756875728</v>
      </c>
    </row>
    <row r="34" spans="2:7" x14ac:dyDescent="0.25">
      <c r="B34" s="14">
        <f>'Projeção população'!B35</f>
        <v>2041</v>
      </c>
      <c r="C34" s="76">
        <f>'Projeção população'!C35</f>
        <v>78464.707092610392</v>
      </c>
      <c r="D34" s="76">
        <f t="shared" si="6"/>
        <v>524.46360299420189</v>
      </c>
      <c r="E34" s="84">
        <f t="shared" si="3"/>
        <v>131.11590074855047</v>
      </c>
      <c r="F34" s="11">
        <f t="shared" si="4"/>
        <v>35.139061400611531</v>
      </c>
      <c r="G34" s="76">
        <f t="shared" si="5"/>
        <v>95.976839347938949</v>
      </c>
    </row>
    <row r="35" spans="2:7" x14ac:dyDescent="0.25">
      <c r="B35" s="14">
        <f>'Projeção população'!B36</f>
        <v>2042</v>
      </c>
      <c r="C35" s="76">
        <f>'Projeção população'!C36</f>
        <v>78567.514321069641</v>
      </c>
      <c r="D35" s="76">
        <f t="shared" si="6"/>
        <v>525.150773716549</v>
      </c>
      <c r="E35" s="84">
        <f t="shared" si="3"/>
        <v>131.28769342913725</v>
      </c>
      <c r="F35" s="11">
        <f t="shared" si="4"/>
        <v>35.185101839008787</v>
      </c>
      <c r="G35" s="76">
        <f t="shared" si="5"/>
        <v>96.102591590128469</v>
      </c>
    </row>
    <row r="36" spans="2:7" x14ac:dyDescent="0.25">
      <c r="B36" s="14">
        <f>'Projeção população'!B37</f>
        <v>2043</v>
      </c>
      <c r="C36" s="76">
        <f>'Projeção população'!C37</f>
        <v>78650.438195720359</v>
      </c>
      <c r="D36" s="76">
        <f t="shared" si="6"/>
        <v>525.70504270811261</v>
      </c>
      <c r="E36" s="84">
        <f t="shared" si="3"/>
        <v>131.42626067702815</v>
      </c>
      <c r="F36" s="11">
        <f t="shared" si="4"/>
        <v>35.222237861443546</v>
      </c>
      <c r="G36" s="76">
        <f t="shared" si="5"/>
        <v>96.204022815584608</v>
      </c>
    </row>
    <row r="37" spans="2:7" x14ac:dyDescent="0.25">
      <c r="B37" s="14">
        <f>'Projeção população'!B38</f>
        <v>2044</v>
      </c>
      <c r="C37" s="76">
        <f>'Projeção população'!C38</f>
        <v>78713.58275776013</v>
      </c>
      <c r="D37" s="76">
        <f t="shared" si="6"/>
        <v>526.12710538755118</v>
      </c>
      <c r="E37" s="84">
        <f t="shared" si="3"/>
        <v>131.5317763468878</v>
      </c>
      <c r="F37" s="11">
        <f t="shared" si="4"/>
        <v>35.250516060965928</v>
      </c>
      <c r="G37" s="76">
        <f t="shared" si="5"/>
        <v>96.28126028592186</v>
      </c>
    </row>
    <row r="38" spans="2:7" x14ac:dyDescent="0.25">
      <c r="B38" s="14">
        <f>'Projeção população'!B39</f>
        <v>2045</v>
      </c>
      <c r="C38" s="76">
        <f>'Projeção população'!C39</f>
        <v>78757.033131805176</v>
      </c>
      <c r="D38" s="76">
        <f t="shared" si="6"/>
        <v>526.41753073376719</v>
      </c>
      <c r="E38" s="84">
        <f t="shared" si="3"/>
        <v>131.6043826834418</v>
      </c>
      <c r="F38" s="11">
        <f t="shared" si="4"/>
        <v>35.269974559162407</v>
      </c>
      <c r="G38" s="76">
        <f t="shared" si="5"/>
        <v>96.334408124279392</v>
      </c>
    </row>
    <row r="39" spans="2:7" x14ac:dyDescent="0.25">
      <c r="B39" s="14">
        <f>'Projeção população'!B40</f>
        <v>2046</v>
      </c>
      <c r="C39" s="76">
        <f>'Projeção população'!C40</f>
        <v>78780.89234566479</v>
      </c>
      <c r="D39" s="76">
        <f t="shared" si="6"/>
        <v>526.57700739186077</v>
      </c>
      <c r="E39" s="84">
        <f t="shared" si="3"/>
        <v>131.64425184796519</v>
      </c>
      <c r="F39" s="11">
        <f t="shared" si="4"/>
        <v>35.280659495254675</v>
      </c>
      <c r="G39" s="76">
        <f t="shared" si="5"/>
        <v>96.363592352710526</v>
      </c>
    </row>
    <row r="40" spans="2:7" x14ac:dyDescent="0.25">
      <c r="B40" s="14">
        <f>'Projeção população'!B41</f>
        <v>2047</v>
      </c>
      <c r="C40" s="76">
        <f>'Projeção população'!C41</f>
        <v>78785.423204701758</v>
      </c>
      <c r="D40" s="76">
        <f t="shared" si="6"/>
        <v>526.60729197130081</v>
      </c>
      <c r="E40" s="84">
        <f t="shared" si="3"/>
        <v>131.6518229928252</v>
      </c>
      <c r="F40" s="11">
        <f t="shared" si="4"/>
        <v>35.282688562077155</v>
      </c>
      <c r="G40" s="76">
        <f t="shared" si="5"/>
        <v>96.369134430748048</v>
      </c>
    </row>
    <row r="41" spans="2:7" x14ac:dyDescent="0.25">
      <c r="B41" s="14">
        <f>'Projeção população'!B42</f>
        <v>2048</v>
      </c>
      <c r="C41" s="76">
        <f>'Projeção população'!C42</f>
        <v>78770.83446690347</v>
      </c>
      <c r="D41" s="76">
        <f t="shared" si="6"/>
        <v>526.50977982511017</v>
      </c>
      <c r="E41" s="84">
        <f t="shared" si="3"/>
        <v>131.62744495627754</v>
      </c>
      <c r="F41" s="11">
        <f t="shared" si="4"/>
        <v>35.276155248282386</v>
      </c>
      <c r="G41" s="76">
        <f t="shared" si="5"/>
        <v>96.351289707995164</v>
      </c>
    </row>
    <row r="42" spans="2:7" x14ac:dyDescent="0.25">
      <c r="B42" s="14">
        <f>'Projeção população'!B43</f>
        <v>2049</v>
      </c>
      <c r="C42" s="76">
        <f>'Projeção população'!C43</f>
        <v>78737.0487769639</v>
      </c>
      <c r="D42" s="76">
        <f t="shared" si="6"/>
        <v>526.28395390500009</v>
      </c>
      <c r="E42" s="84">
        <f t="shared" si="3"/>
        <v>131.57098847625002</v>
      </c>
      <c r="F42" s="11">
        <f t="shared" si="4"/>
        <v>35.261024911635005</v>
      </c>
      <c r="G42" s="76">
        <f t="shared" si="5"/>
        <v>96.309963564615018</v>
      </c>
    </row>
    <row r="43" spans="2:7" x14ac:dyDescent="0.25">
      <c r="B43" s="14">
        <f>'Projeção população'!B44</f>
        <v>2050</v>
      </c>
      <c r="C43" s="76">
        <f>'Projeção população'!C44</f>
        <v>78683.951284210387</v>
      </c>
      <c r="D43" s="76">
        <f t="shared" si="6"/>
        <v>525.92904654102313</v>
      </c>
      <c r="E43" s="84">
        <f t="shared" si="3"/>
        <v>131.48226163525578</v>
      </c>
      <c r="F43" s="11">
        <f t="shared" si="4"/>
        <v>35.237246118248549</v>
      </c>
      <c r="G43" s="76">
        <f t="shared" si="5"/>
        <v>96.245015517007232</v>
      </c>
    </row>
    <row r="44" spans="2:7" x14ac:dyDescent="0.25">
      <c r="B44" s="14">
        <f>'Projeção população'!B45</f>
        <v>2051</v>
      </c>
      <c r="C44" s="76">
        <f>'Projeção população'!C45</f>
        <v>78611.626775463039</v>
      </c>
      <c r="D44" s="76">
        <f t="shared" si="6"/>
        <v>525.44562445422866</v>
      </c>
      <c r="E44" s="84">
        <f t="shared" si="3"/>
        <v>131.36140611355717</v>
      </c>
      <c r="F44" s="11">
        <f t="shared" si="4"/>
        <v>35.204856838433322</v>
      </c>
      <c r="G44" s="76">
        <f t="shared" si="5"/>
        <v>96.156549275123837</v>
      </c>
    </row>
    <row r="45" spans="2:7" x14ac:dyDescent="0.25">
      <c r="B45" s="14">
        <f>'Projeção população'!B46</f>
        <v>2052</v>
      </c>
      <c r="C45" s="76">
        <f>'Projeção população'!C46</f>
        <v>78520.319815095456</v>
      </c>
      <c r="D45" s="76">
        <f t="shared" si="6"/>
        <v>524.8353223300353</v>
      </c>
      <c r="E45" s="84">
        <f t="shared" si="3"/>
        <v>131.20883058250882</v>
      </c>
      <c r="F45" s="11">
        <f t="shared" si="4"/>
        <v>35.163966596112367</v>
      </c>
      <c r="G45" s="76">
        <f t="shared" si="5"/>
        <v>96.04486398639645</v>
      </c>
    </row>
    <row r="46" spans="2:7" x14ac:dyDescent="0.25">
      <c r="B46" s="14">
        <f>'Projeção população'!B47</f>
        <v>2053</v>
      </c>
      <c r="C46" s="76">
        <f>'Projeção população'!C47</f>
        <v>78410.056751203112</v>
      </c>
      <c r="D46" s="76">
        <f t="shared" si="6"/>
        <v>524.09831628096026</v>
      </c>
      <c r="E46" s="84">
        <f t="shared" si="3"/>
        <v>131.02457907024007</v>
      </c>
      <c r="F46" s="11">
        <f t="shared" si="4"/>
        <v>35.114587190824338</v>
      </c>
      <c r="G46" s="76">
        <f t="shared" si="5"/>
        <v>95.909991879415728</v>
      </c>
    </row>
    <row r="47" spans="2:7" x14ac:dyDescent="0.25">
      <c r="B47" s="14">
        <f>'Projeção população'!B48</f>
        <v>2054</v>
      </c>
      <c r="C47" s="76">
        <f>'Projeção população'!C48</f>
        <v>78280.743000879113</v>
      </c>
      <c r="D47" s="76">
        <f t="shared" si="6"/>
        <v>523.23397410822304</v>
      </c>
      <c r="E47" s="84">
        <f t="shared" si="3"/>
        <v>130.80849352705576</v>
      </c>
      <c r="F47" s="11">
        <f t="shared" si="4"/>
        <v>35.056676265250942</v>
      </c>
      <c r="G47" s="76">
        <f t="shared" si="5"/>
        <v>95.751817261804817</v>
      </c>
    </row>
    <row r="48" spans="2:7" x14ac:dyDescent="0.25">
      <c r="B48" s="14">
        <f>'Projeção população'!B49</f>
        <v>2055</v>
      </c>
      <c r="C48" s="76">
        <f>'Projeção população'!C49</f>
        <v>78132.346135698215</v>
      </c>
      <c r="D48" s="76">
        <f t="shared" si="6"/>
        <v>522.24207905795595</v>
      </c>
      <c r="E48" s="84">
        <f t="shared" si="3"/>
        <v>130.56051976448899</v>
      </c>
      <c r="F48" s="11">
        <f t="shared" si="4"/>
        <v>34.990219296883048</v>
      </c>
      <c r="G48" s="76">
        <f t="shared" si="5"/>
        <v>95.570300467605932</v>
      </c>
    </row>
    <row r="49" spans="2:7" x14ac:dyDescent="0.25">
      <c r="B49" s="14">
        <f>'Projeção população'!B50</f>
        <v>2056</v>
      </c>
      <c r="C49" s="76">
        <f>'Projeção população'!C50</f>
        <v>77965.103288519895</v>
      </c>
      <c r="D49" s="76">
        <f t="shared" si="6"/>
        <v>521.12421614281595</v>
      </c>
      <c r="E49" s="84">
        <f t="shared" si="3"/>
        <v>130.28105403570399</v>
      </c>
      <c r="F49" s="11">
        <f t="shared" si="4"/>
        <v>34.915322481568673</v>
      </c>
      <c r="G49" s="76">
        <f t="shared" si="5"/>
        <v>95.365731554135323</v>
      </c>
    </row>
    <row r="50" spans="2:7" x14ac:dyDescent="0.25">
      <c r="B50" s="14">
        <f>'Projeção população'!B51</f>
        <v>2057</v>
      </c>
      <c r="C50" s="76">
        <f>'Projeção população'!C51</f>
        <v>77779.471497462175</v>
      </c>
      <c r="D50" s="76">
        <f t="shared" si="6"/>
        <v>519.88344023762465</v>
      </c>
      <c r="E50" s="84">
        <f t="shared" si="3"/>
        <v>129.97086005940616</v>
      </c>
      <c r="F50" s="11">
        <f t="shared" si="4"/>
        <v>34.832190495920855</v>
      </c>
      <c r="G50" s="76">
        <f t="shared" si="5"/>
        <v>95.138669563485308</v>
      </c>
    </row>
    <row r="51" spans="2:7" x14ac:dyDescent="0.25">
      <c r="B51" s="14">
        <f>'Projeção população'!B52</f>
        <v>2058</v>
      </c>
      <c r="C51" s="76">
        <f>'Projeção população'!C52</f>
        <v>77575.645670872502</v>
      </c>
      <c r="D51" s="76">
        <f t="shared" si="6"/>
        <v>518.52105412344065</v>
      </c>
      <c r="E51" s="84">
        <f t="shared" si="3"/>
        <v>129.63026353086016</v>
      </c>
      <c r="F51" s="11">
        <f t="shared" si="4"/>
        <v>34.740910626270527</v>
      </c>
      <c r="G51" s="76">
        <f t="shared" si="5"/>
        <v>94.889352904589629</v>
      </c>
    </row>
    <row r="52" spans="2:7" x14ac:dyDescent="0.25">
      <c r="B52" s="14">
        <f>'Projeção população'!B53</f>
        <v>2059</v>
      </c>
      <c r="C52" s="76">
        <f>'Projeção população'!C53</f>
        <v>77353.799773740364</v>
      </c>
      <c r="D52" s="76">
        <f t="shared" si="6"/>
        <v>517.0382205944494</v>
      </c>
      <c r="E52" s="84">
        <f t="shared" si="3"/>
        <v>129.25955514861235</v>
      </c>
      <c r="F52" s="11">
        <f t="shared" si="4"/>
        <v>34.641560779828112</v>
      </c>
      <c r="G52" s="76">
        <f t="shared" si="5"/>
        <v>94.617994368784238</v>
      </c>
    </row>
    <row r="53" spans="2:7" x14ac:dyDescent="0.25">
      <c r="B53" s="14">
        <f>'Projeção população'!B54</f>
        <v>2060</v>
      </c>
      <c r="C53" s="76">
        <f>'Projeção população'!C54</f>
        <v>77114.236809163951</v>
      </c>
      <c r="D53" s="76">
        <f t="shared" si="6"/>
        <v>515.4369649446013</v>
      </c>
      <c r="E53" s="84">
        <f t="shared" si="3"/>
        <v>128.85924123615032</v>
      </c>
      <c r="F53" s="11">
        <f t="shared" si="4"/>
        <v>34.534276651288287</v>
      </c>
      <c r="G53" s="76">
        <f t="shared" si="5"/>
        <v>94.324964584862045</v>
      </c>
    </row>
  </sheetData>
  <mergeCells count="6">
    <mergeCell ref="B2:E2"/>
    <mergeCell ref="G1:J2"/>
    <mergeCell ref="E14:G14"/>
    <mergeCell ref="B14:B15"/>
    <mergeCell ref="C14:C15"/>
    <mergeCell ref="D14:D1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39A57-AA75-4A0A-8398-7AAB29C80D9A}">
  <dimension ref="B2:AG52"/>
  <sheetViews>
    <sheetView showGridLines="0" zoomScale="80" zoomScaleNormal="80" workbookViewId="0">
      <pane xSplit="3" ySplit="15" topLeftCell="E16" activePane="bottomRight" state="frozen"/>
      <selection pane="topRight" activeCell="D1" sqref="D1"/>
      <selection pane="bottomLeft" activeCell="A16" sqref="A16"/>
      <selection pane="bottomRight" activeCell="E6" sqref="E6"/>
    </sheetView>
  </sheetViews>
  <sheetFormatPr defaultRowHeight="13.8" x14ac:dyDescent="0.25"/>
  <cols>
    <col min="1" max="1" width="8.88671875" style="1"/>
    <col min="2" max="2" width="9" style="1" bestFit="1" customWidth="1"/>
    <col min="3" max="3" width="10" style="1" customWidth="1"/>
    <col min="4" max="4" width="15.109375" style="1" customWidth="1"/>
    <col min="5" max="5" width="13" style="1" customWidth="1"/>
    <col min="6" max="6" width="15" style="1" customWidth="1"/>
    <col min="7" max="7" width="12.77734375" style="1" customWidth="1"/>
    <col min="8" max="8" width="14.44140625" style="1" customWidth="1"/>
    <col min="9" max="11" width="15.5546875" style="1" customWidth="1"/>
    <col min="12" max="12" width="5.33203125" style="1" customWidth="1"/>
    <col min="13" max="13" width="6.5546875" style="1" customWidth="1"/>
    <col min="14" max="14" width="10.109375" style="1" customWidth="1"/>
    <col min="15" max="15" width="16.5546875" style="1" customWidth="1"/>
    <col min="16" max="17" width="15.21875" style="1" customWidth="1"/>
    <col min="18" max="22" width="17.109375" style="1" customWidth="1"/>
    <col min="23" max="23" width="2.109375" style="1" customWidth="1"/>
    <col min="24" max="24" width="8.88671875" style="1" customWidth="1"/>
    <col min="25" max="25" width="10.6640625" style="1" customWidth="1"/>
    <col min="26" max="33" width="16.5546875" style="1" customWidth="1"/>
    <col min="34" max="16384" width="8.88671875" style="1"/>
  </cols>
  <sheetData>
    <row r="2" spans="2:33" ht="21" x14ac:dyDescent="0.4">
      <c r="B2" s="112" t="s">
        <v>62</v>
      </c>
      <c r="C2" s="112"/>
      <c r="D2" s="112"/>
      <c r="E2" s="112"/>
      <c r="F2" s="112"/>
      <c r="G2" s="112"/>
      <c r="H2" s="112"/>
      <c r="J2" s="112" t="s">
        <v>63</v>
      </c>
      <c r="K2" s="112"/>
      <c r="L2" s="112"/>
      <c r="M2" s="112"/>
      <c r="N2" s="112"/>
      <c r="O2" s="112"/>
      <c r="P2" s="112"/>
      <c r="Q2" s="66"/>
    </row>
    <row r="3" spans="2:33" ht="17.399999999999999" customHeight="1" x14ac:dyDescent="0.35">
      <c r="B3" s="58"/>
      <c r="C3" s="58"/>
      <c r="D3" s="58"/>
      <c r="F3" s="58"/>
      <c r="G3" s="58"/>
      <c r="H3" s="58"/>
    </row>
    <row r="4" spans="2:33" ht="15.6" customHeight="1" x14ac:dyDescent="0.35">
      <c r="B4" s="119" t="s">
        <v>65</v>
      </c>
      <c r="C4" s="119"/>
      <c r="D4" s="119"/>
      <c r="E4" s="119"/>
      <c r="F4" s="58"/>
      <c r="G4" s="58"/>
      <c r="H4" s="58"/>
      <c r="J4" s="113" t="s">
        <v>15</v>
      </c>
      <c r="K4" s="113"/>
      <c r="L4" s="113"/>
      <c r="M4" s="129">
        <v>325</v>
      </c>
      <c r="N4" s="130"/>
    </row>
    <row r="5" spans="2:33" ht="14.4" customHeight="1" x14ac:dyDescent="0.25">
      <c r="B5" s="113" t="s">
        <v>43</v>
      </c>
      <c r="C5" s="113"/>
      <c r="D5" s="113"/>
      <c r="E5" s="43">
        <v>5000</v>
      </c>
      <c r="J5" s="137" t="s">
        <v>64</v>
      </c>
      <c r="K5" s="138"/>
      <c r="L5" s="139"/>
      <c r="M5" s="131">
        <v>150</v>
      </c>
      <c r="N5" s="132"/>
      <c r="P5" s="35"/>
    </row>
    <row r="6" spans="2:33" x14ac:dyDescent="0.25">
      <c r="B6" s="113" t="s">
        <v>17</v>
      </c>
      <c r="C6" s="113"/>
      <c r="D6" s="113"/>
      <c r="E6" s="16">
        <f>E5*(1-F6)</f>
        <v>4000</v>
      </c>
      <c r="F6" s="59">
        <v>0.2</v>
      </c>
      <c r="G6" s="113" t="s">
        <v>356</v>
      </c>
      <c r="H6" s="113"/>
      <c r="J6" s="133" t="s">
        <v>67</v>
      </c>
      <c r="K6" s="134"/>
      <c r="L6" s="134"/>
      <c r="M6" s="134"/>
      <c r="N6" s="135"/>
    </row>
    <row r="7" spans="2:33" x14ac:dyDescent="0.25">
      <c r="B7" s="113" t="s">
        <v>18</v>
      </c>
      <c r="C7" s="113"/>
      <c r="D7" s="113"/>
      <c r="E7" s="60">
        <f>E5*(1+F7)</f>
        <v>6000</v>
      </c>
      <c r="F7" s="47">
        <v>0.2</v>
      </c>
      <c r="G7" s="113" t="s">
        <v>357</v>
      </c>
      <c r="H7" s="113"/>
      <c r="J7" s="136" t="s">
        <v>43</v>
      </c>
      <c r="K7" s="136"/>
      <c r="L7" s="136"/>
      <c r="M7" s="61">
        <v>3</v>
      </c>
      <c r="N7" s="116" t="s">
        <v>68</v>
      </c>
    </row>
    <row r="8" spans="2:33" x14ac:dyDescent="0.25">
      <c r="B8" s="117" t="s">
        <v>66</v>
      </c>
      <c r="C8" s="117"/>
      <c r="D8" s="117"/>
      <c r="E8" s="17">
        <f>'Custo Variável Médio'!D13</f>
        <v>1001</v>
      </c>
      <c r="F8" s="62"/>
      <c r="J8" s="113" t="s">
        <v>17</v>
      </c>
      <c r="K8" s="113"/>
      <c r="L8" s="113"/>
      <c r="M8" s="63">
        <v>2</v>
      </c>
      <c r="N8" s="116"/>
    </row>
    <row r="9" spans="2:33" ht="14.4" customHeight="1" x14ac:dyDescent="0.25">
      <c r="B9" s="118" t="s">
        <v>42</v>
      </c>
      <c r="C9" s="118"/>
      <c r="D9" s="113" t="s">
        <v>43</v>
      </c>
      <c r="E9" s="114"/>
      <c r="F9" s="65">
        <v>0.115</v>
      </c>
      <c r="G9" s="118" t="s">
        <v>73</v>
      </c>
      <c r="H9" s="118"/>
      <c r="J9" s="113" t="s">
        <v>18</v>
      </c>
      <c r="K9" s="113"/>
      <c r="L9" s="113"/>
      <c r="M9" s="64">
        <v>4</v>
      </c>
      <c r="N9" s="116"/>
    </row>
    <row r="10" spans="2:33" x14ac:dyDescent="0.25">
      <c r="B10" s="118"/>
      <c r="C10" s="118"/>
      <c r="D10" s="113" t="s">
        <v>17</v>
      </c>
      <c r="E10" s="113"/>
      <c r="F10" s="86">
        <v>0.11</v>
      </c>
      <c r="G10" s="118"/>
      <c r="H10" s="118"/>
    </row>
    <row r="11" spans="2:33" x14ac:dyDescent="0.25">
      <c r="B11" s="118"/>
      <c r="C11" s="118"/>
      <c r="D11" s="113" t="s">
        <v>18</v>
      </c>
      <c r="E11" s="113"/>
      <c r="F11" s="65">
        <v>0.12</v>
      </c>
      <c r="G11" s="118"/>
      <c r="H11" s="118"/>
    </row>
    <row r="13" spans="2:33" ht="21" x14ac:dyDescent="0.4">
      <c r="D13" s="127" t="s">
        <v>43</v>
      </c>
      <c r="E13" s="128"/>
      <c r="F13" s="128"/>
      <c r="G13" s="128"/>
      <c r="H13" s="128"/>
      <c r="I13" s="128"/>
      <c r="J13" s="128"/>
      <c r="K13" s="128"/>
      <c r="O13" s="127" t="s">
        <v>17</v>
      </c>
      <c r="P13" s="128"/>
      <c r="Q13" s="128"/>
      <c r="R13" s="128"/>
      <c r="S13" s="128"/>
      <c r="T13" s="128"/>
      <c r="U13" s="128"/>
      <c r="V13" s="128"/>
      <c r="Z13" s="115" t="s">
        <v>18</v>
      </c>
      <c r="AA13" s="115"/>
      <c r="AB13" s="115"/>
      <c r="AC13" s="115"/>
      <c r="AD13" s="115"/>
      <c r="AE13" s="115"/>
      <c r="AF13" s="115"/>
      <c r="AG13" s="115"/>
    </row>
    <row r="14" spans="2:33" s="12" customFormat="1" x14ac:dyDescent="0.3">
      <c r="B14" s="122" t="str">
        <f>'Projeção Óbitos'!B14</f>
        <v>Ano</v>
      </c>
      <c r="C14" s="120" t="s">
        <v>362</v>
      </c>
      <c r="D14" s="124" t="s">
        <v>71</v>
      </c>
      <c r="E14" s="125"/>
      <c r="F14" s="126"/>
      <c r="G14" s="120" t="s">
        <v>44</v>
      </c>
      <c r="H14" s="124" t="s">
        <v>72</v>
      </c>
      <c r="I14" s="125"/>
      <c r="J14" s="126"/>
      <c r="K14" s="120" t="s">
        <v>16</v>
      </c>
      <c r="M14" s="122" t="str">
        <f>B14</f>
        <v>Ano</v>
      </c>
      <c r="N14" s="120" t="s">
        <v>362</v>
      </c>
      <c r="O14" s="124" t="s">
        <v>71</v>
      </c>
      <c r="P14" s="125"/>
      <c r="Q14" s="126"/>
      <c r="R14" s="120" t="s">
        <v>44</v>
      </c>
      <c r="S14" s="124" t="s">
        <v>72</v>
      </c>
      <c r="T14" s="125"/>
      <c r="U14" s="126"/>
      <c r="V14" s="120" t="s">
        <v>16</v>
      </c>
      <c r="X14" s="122" t="str">
        <f>M14</f>
        <v>Ano</v>
      </c>
      <c r="Y14" s="120" t="s">
        <v>362</v>
      </c>
      <c r="Z14" s="124" t="s">
        <v>71</v>
      </c>
      <c r="AA14" s="125"/>
      <c r="AB14" s="126"/>
      <c r="AC14" s="120" t="s">
        <v>44</v>
      </c>
      <c r="AD14" s="124" t="s">
        <v>72</v>
      </c>
      <c r="AE14" s="125"/>
      <c r="AF14" s="126"/>
      <c r="AG14" s="120" t="s">
        <v>16</v>
      </c>
    </row>
    <row r="15" spans="2:33" s="12" customFormat="1" x14ac:dyDescent="0.3">
      <c r="B15" s="123"/>
      <c r="C15" s="121"/>
      <c r="D15" s="33" t="s">
        <v>61</v>
      </c>
      <c r="E15" s="33" t="s">
        <v>69</v>
      </c>
      <c r="F15" s="33" t="s">
        <v>70</v>
      </c>
      <c r="G15" s="121"/>
      <c r="H15" s="33" t="s">
        <v>61</v>
      </c>
      <c r="I15" s="33" t="s">
        <v>69</v>
      </c>
      <c r="J15" s="33" t="s">
        <v>70</v>
      </c>
      <c r="K15" s="121"/>
      <c r="M15" s="123"/>
      <c r="N15" s="121"/>
      <c r="O15" s="33" t="s">
        <v>61</v>
      </c>
      <c r="P15" s="33" t="s">
        <v>69</v>
      </c>
      <c r="Q15" s="33" t="s">
        <v>70</v>
      </c>
      <c r="R15" s="121"/>
      <c r="S15" s="33" t="s">
        <v>61</v>
      </c>
      <c r="T15" s="33" t="s">
        <v>69</v>
      </c>
      <c r="U15" s="33" t="s">
        <v>70</v>
      </c>
      <c r="V15" s="121"/>
      <c r="X15" s="123"/>
      <c r="Y15" s="121"/>
      <c r="Z15" s="33" t="s">
        <v>61</v>
      </c>
      <c r="AA15" s="33" t="s">
        <v>69</v>
      </c>
      <c r="AB15" s="33" t="s">
        <v>70</v>
      </c>
      <c r="AC15" s="121"/>
      <c r="AD15" s="33" t="s">
        <v>61</v>
      </c>
      <c r="AE15" s="33" t="s">
        <v>69</v>
      </c>
      <c r="AF15" s="33" t="s">
        <v>70</v>
      </c>
      <c r="AG15" s="121"/>
    </row>
    <row r="16" spans="2:33" x14ac:dyDescent="0.25">
      <c r="B16" s="15">
        <f>'Projeção Óbitos'!B17</f>
        <v>2024</v>
      </c>
      <c r="C16" s="85">
        <f>'Projeção Óbitos'!G17</f>
        <v>89.944402889870361</v>
      </c>
      <c r="D16" s="16">
        <f t="shared" ref="D16:D52" si="0">C16*$E$5</f>
        <v>449722.01444935182</v>
      </c>
      <c r="E16" s="16">
        <f t="shared" ref="E16:E52" si="1">C16*$M$7*$M$4</f>
        <v>87695.792817623587</v>
      </c>
      <c r="F16" s="16">
        <f>D16+E16</f>
        <v>537417.8072669754</v>
      </c>
      <c r="G16" s="16">
        <f>F16*$F$9</f>
        <v>61803.047835702171</v>
      </c>
      <c r="H16" s="16">
        <f t="shared" ref="H16:H52" si="2">C16*$E$8</f>
        <v>90034.347292760227</v>
      </c>
      <c r="I16" s="16">
        <f t="shared" ref="I16:I52" si="3">C16*$M$7*$M$5</f>
        <v>40474.981300441657</v>
      </c>
      <c r="J16" s="16">
        <f>H16+I16</f>
        <v>130509.32859320188</v>
      </c>
      <c r="K16" s="16">
        <f t="shared" ref="K16:K52" si="4">F16-J16-G16</f>
        <v>345105.43083807133</v>
      </c>
      <c r="M16" s="87">
        <f>B16</f>
        <v>2024</v>
      </c>
      <c r="N16" s="87">
        <f>C16</f>
        <v>89.944402889870361</v>
      </c>
      <c r="O16" s="16">
        <f t="shared" ref="O16:O52" si="5">$E$6*C16</f>
        <v>359777.61155948142</v>
      </c>
      <c r="P16" s="16">
        <f t="shared" ref="P16:P52" si="6">C16*$M$8*$M$4</f>
        <v>58463.861878415737</v>
      </c>
      <c r="Q16" s="16">
        <f>O16+P16</f>
        <v>418241.47343789716</v>
      </c>
      <c r="R16" s="16">
        <f>Q16*$F$10</f>
        <v>46006.562078168688</v>
      </c>
      <c r="S16" s="16">
        <f>H16</f>
        <v>90034.347292760227</v>
      </c>
      <c r="T16" s="16">
        <f t="shared" ref="T16:T52" si="7">C16*$M$8*$M$5</f>
        <v>26983.320866961109</v>
      </c>
      <c r="U16" s="16">
        <f>S16+T16</f>
        <v>117017.66815972133</v>
      </c>
      <c r="V16" s="16">
        <f>Q16-U16-R16</f>
        <v>255217.24320000719</v>
      </c>
      <c r="X16" s="87">
        <f>M16</f>
        <v>2024</v>
      </c>
      <c r="Y16" s="87">
        <f>N16</f>
        <v>89.944402889870361</v>
      </c>
      <c r="Z16" s="16">
        <f t="shared" ref="Z16:Z52" si="8">$E$7*C16</f>
        <v>539666.41733922216</v>
      </c>
      <c r="AA16" s="16">
        <f t="shared" ref="AA16:AA52" si="9">C16*$M$9*$M$4</f>
        <v>116927.72375683147</v>
      </c>
      <c r="AB16" s="16">
        <f>Z16+AA16</f>
        <v>656594.14109605365</v>
      </c>
      <c r="AC16" s="16">
        <f>AB16*$F$11</f>
        <v>78791.296931526434</v>
      </c>
      <c r="AD16" s="16">
        <f>S16</f>
        <v>90034.347292760227</v>
      </c>
      <c r="AE16" s="16">
        <f t="shared" ref="AE16:AE52" si="10">C16*$M$9*$M$5</f>
        <v>53966.641733922217</v>
      </c>
      <c r="AF16" s="16">
        <f>AD16+AE16</f>
        <v>144000.98902668245</v>
      </c>
      <c r="AG16" s="16">
        <f>AB16-AC16-AF16</f>
        <v>433801.8551378448</v>
      </c>
    </row>
    <row r="17" spans="2:33" x14ac:dyDescent="0.25">
      <c r="B17" s="15">
        <f>'Projeção Óbitos'!B18</f>
        <v>2025</v>
      </c>
      <c r="C17" s="85">
        <f>'Projeção Óbitos'!G18</f>
        <v>90.499987019720692</v>
      </c>
      <c r="D17" s="16">
        <f t="shared" si="0"/>
        <v>452499.93509860348</v>
      </c>
      <c r="E17" s="16">
        <f t="shared" si="1"/>
        <v>88237.487344227658</v>
      </c>
      <c r="F17" s="16">
        <f t="shared" ref="F17:F52" si="11">D17+E17</f>
        <v>540737.4224428311</v>
      </c>
      <c r="G17" s="16">
        <f t="shared" ref="G17:G52" si="12">F17*$F$9</f>
        <v>62184.803580925582</v>
      </c>
      <c r="H17" s="16">
        <f t="shared" si="2"/>
        <v>90590.487006740412</v>
      </c>
      <c r="I17" s="16">
        <f t="shared" si="3"/>
        <v>40724.99415887431</v>
      </c>
      <c r="J17" s="16">
        <f t="shared" ref="J17:J52" si="13">H17+I17</f>
        <v>131315.48116561474</v>
      </c>
      <c r="K17" s="16">
        <f t="shared" si="4"/>
        <v>347237.1376962908</v>
      </c>
      <c r="M17" s="87">
        <f t="shared" ref="M17:M52" si="14">B17</f>
        <v>2025</v>
      </c>
      <c r="N17" s="87">
        <f t="shared" ref="N17:N52" si="15">C17</f>
        <v>90.499987019720692</v>
      </c>
      <c r="O17" s="16">
        <f t="shared" si="5"/>
        <v>361999.94807888276</v>
      </c>
      <c r="P17" s="16">
        <f t="shared" si="6"/>
        <v>58824.991562818446</v>
      </c>
      <c r="Q17" s="16">
        <f t="shared" ref="Q17:Q52" si="16">O17+P17</f>
        <v>420824.93964170123</v>
      </c>
      <c r="R17" s="16">
        <f t="shared" ref="R17:R52" si="17">Q17*$F$10</f>
        <v>46290.743360587134</v>
      </c>
      <c r="S17" s="16">
        <f t="shared" ref="S17:S52" si="18">H17</f>
        <v>90590.487006740412</v>
      </c>
      <c r="T17" s="16">
        <f t="shared" si="7"/>
        <v>27149.996105916209</v>
      </c>
      <c r="U17" s="16">
        <f t="shared" ref="U17:U52" si="19">S17+T17</f>
        <v>117740.48311265663</v>
      </c>
      <c r="V17" s="16">
        <f t="shared" ref="V17:V52" si="20">Q17-U17-R17</f>
        <v>256793.71316845747</v>
      </c>
      <c r="X17" s="87">
        <f t="shared" ref="X17:X52" si="21">M17</f>
        <v>2025</v>
      </c>
      <c r="Y17" s="87">
        <f t="shared" ref="Y17:Y52" si="22">N17</f>
        <v>90.499987019720692</v>
      </c>
      <c r="Z17" s="16">
        <f t="shared" si="8"/>
        <v>542999.9221183242</v>
      </c>
      <c r="AA17" s="16">
        <f t="shared" si="9"/>
        <v>117649.98312563689</v>
      </c>
      <c r="AB17" s="16">
        <f t="shared" ref="AB17:AB52" si="23">Z17+AA17</f>
        <v>660649.90524396114</v>
      </c>
      <c r="AC17" s="16">
        <f t="shared" ref="AC17:AC52" si="24">AB17*$F$11</f>
        <v>79277.988629275336</v>
      </c>
      <c r="AD17" s="16">
        <f t="shared" ref="AD17:AD52" si="25">S17</f>
        <v>90590.487006740412</v>
      </c>
      <c r="AE17" s="16">
        <f t="shared" si="10"/>
        <v>54299.992211832418</v>
      </c>
      <c r="AF17" s="16">
        <f t="shared" ref="AF17:AF52" si="26">AD17+AE17</f>
        <v>144890.47921857284</v>
      </c>
      <c r="AG17" s="16">
        <f t="shared" ref="AG17:AG52" si="27">AB17-AC17-AF17</f>
        <v>436481.43739611295</v>
      </c>
    </row>
    <row r="18" spans="2:33" x14ac:dyDescent="0.25">
      <c r="B18" s="15">
        <f>'Projeção Óbitos'!B19</f>
        <v>2026</v>
      </c>
      <c r="C18" s="85">
        <f>'Projeção Óbitos'!G19</f>
        <v>91.031939328853923</v>
      </c>
      <c r="D18" s="16">
        <f t="shared" si="0"/>
        <v>455159.69664426963</v>
      </c>
      <c r="E18" s="16">
        <f t="shared" si="1"/>
        <v>88756.140845632573</v>
      </c>
      <c r="F18" s="16">
        <f t="shared" si="11"/>
        <v>543915.83748990216</v>
      </c>
      <c r="G18" s="16">
        <f t="shared" si="12"/>
        <v>62550.321311338754</v>
      </c>
      <c r="H18" s="16">
        <f t="shared" si="2"/>
        <v>91122.97126818278</v>
      </c>
      <c r="I18" s="16">
        <f t="shared" si="3"/>
        <v>40964.372697984269</v>
      </c>
      <c r="J18" s="16">
        <f t="shared" si="13"/>
        <v>132087.34396616704</v>
      </c>
      <c r="K18" s="16">
        <f t="shared" si="4"/>
        <v>349278.17221239634</v>
      </c>
      <c r="M18" s="87">
        <f t="shared" si="14"/>
        <v>2026</v>
      </c>
      <c r="N18" s="87">
        <f t="shared" si="15"/>
        <v>91.031939328853923</v>
      </c>
      <c r="O18" s="16">
        <f t="shared" si="5"/>
        <v>364127.75731541571</v>
      </c>
      <c r="P18" s="16">
        <f t="shared" si="6"/>
        <v>59170.760563755051</v>
      </c>
      <c r="Q18" s="16">
        <f t="shared" si="16"/>
        <v>423298.51787917077</v>
      </c>
      <c r="R18" s="16">
        <f t="shared" si="17"/>
        <v>46562.836966708783</v>
      </c>
      <c r="S18" s="16">
        <f t="shared" si="18"/>
        <v>91122.97126818278</v>
      </c>
      <c r="T18" s="16">
        <f t="shared" si="7"/>
        <v>27309.581798656178</v>
      </c>
      <c r="U18" s="16">
        <f t="shared" si="19"/>
        <v>118432.55306683895</v>
      </c>
      <c r="V18" s="16">
        <f t="shared" si="20"/>
        <v>258303.12784562306</v>
      </c>
      <c r="X18" s="87">
        <f t="shared" si="21"/>
        <v>2026</v>
      </c>
      <c r="Y18" s="87">
        <f t="shared" si="22"/>
        <v>91.031939328853923</v>
      </c>
      <c r="Z18" s="16">
        <f t="shared" si="8"/>
        <v>546191.63597312348</v>
      </c>
      <c r="AA18" s="16">
        <f t="shared" si="9"/>
        <v>118341.5211275101</v>
      </c>
      <c r="AB18" s="16">
        <f t="shared" si="23"/>
        <v>664533.1571006336</v>
      </c>
      <c r="AC18" s="16">
        <f t="shared" si="24"/>
        <v>79743.978852076034</v>
      </c>
      <c r="AD18" s="16">
        <f t="shared" si="25"/>
        <v>91122.97126818278</v>
      </c>
      <c r="AE18" s="16">
        <f t="shared" si="10"/>
        <v>54619.163597312356</v>
      </c>
      <c r="AF18" s="16">
        <f t="shared" si="26"/>
        <v>145742.13486549514</v>
      </c>
      <c r="AG18" s="16">
        <f t="shared" si="27"/>
        <v>439047.04338306247</v>
      </c>
    </row>
    <row r="19" spans="2:33" x14ac:dyDescent="0.25">
      <c r="B19" s="15">
        <f>'Projeção Óbitos'!B20</f>
        <v>2027</v>
      </c>
      <c r="C19" s="85">
        <f>'Projeção Óbitos'!G20</f>
        <v>91.539623922384521</v>
      </c>
      <c r="D19" s="16">
        <f t="shared" si="0"/>
        <v>457698.11961192259</v>
      </c>
      <c r="E19" s="16">
        <f t="shared" si="1"/>
        <v>89251.13332432491</v>
      </c>
      <c r="F19" s="16">
        <f t="shared" si="11"/>
        <v>546949.2529362475</v>
      </c>
      <c r="G19" s="16">
        <f t="shared" si="12"/>
        <v>62899.164087668469</v>
      </c>
      <c r="H19" s="16">
        <f t="shared" si="2"/>
        <v>91631.163546306911</v>
      </c>
      <c r="I19" s="16">
        <f t="shared" si="3"/>
        <v>41192.830765073035</v>
      </c>
      <c r="J19" s="16">
        <f t="shared" si="13"/>
        <v>132823.99431137994</v>
      </c>
      <c r="K19" s="16">
        <f t="shared" si="4"/>
        <v>351226.09453719907</v>
      </c>
      <c r="M19" s="87">
        <f t="shared" si="14"/>
        <v>2027</v>
      </c>
      <c r="N19" s="87">
        <f t="shared" si="15"/>
        <v>91.539623922384521</v>
      </c>
      <c r="O19" s="16">
        <f t="shared" si="5"/>
        <v>366158.49568953807</v>
      </c>
      <c r="P19" s="16">
        <f t="shared" si="6"/>
        <v>59500.75554954994</v>
      </c>
      <c r="Q19" s="16">
        <f t="shared" si="16"/>
        <v>425659.25123908801</v>
      </c>
      <c r="R19" s="16">
        <f t="shared" si="17"/>
        <v>46822.517636299679</v>
      </c>
      <c r="S19" s="16">
        <f t="shared" si="18"/>
        <v>91631.163546306911</v>
      </c>
      <c r="T19" s="16">
        <f t="shared" si="7"/>
        <v>27461.887176715358</v>
      </c>
      <c r="U19" s="16">
        <f t="shared" si="19"/>
        <v>119093.05072302227</v>
      </c>
      <c r="V19" s="16">
        <f t="shared" si="20"/>
        <v>259743.68287976607</v>
      </c>
      <c r="X19" s="87">
        <f t="shared" si="21"/>
        <v>2027</v>
      </c>
      <c r="Y19" s="87">
        <f t="shared" si="22"/>
        <v>91.539623922384521</v>
      </c>
      <c r="Z19" s="16">
        <f t="shared" si="8"/>
        <v>549237.74353430711</v>
      </c>
      <c r="AA19" s="16">
        <f t="shared" si="9"/>
        <v>119001.51109909988</v>
      </c>
      <c r="AB19" s="16">
        <f t="shared" si="23"/>
        <v>668239.25463340699</v>
      </c>
      <c r="AC19" s="16">
        <f t="shared" si="24"/>
        <v>80188.710556008838</v>
      </c>
      <c r="AD19" s="16">
        <f t="shared" si="25"/>
        <v>91631.163546306911</v>
      </c>
      <c r="AE19" s="16">
        <f t="shared" si="10"/>
        <v>54923.774353430716</v>
      </c>
      <c r="AF19" s="16">
        <f t="shared" si="26"/>
        <v>146554.93789973762</v>
      </c>
      <c r="AG19" s="16">
        <f t="shared" si="27"/>
        <v>441495.60617766052</v>
      </c>
    </row>
    <row r="20" spans="2:33" x14ac:dyDescent="0.25">
      <c r="B20" s="15">
        <f>'Projeção Óbitos'!B21</f>
        <v>2028</v>
      </c>
      <c r="C20" s="85">
        <f>'Projeção Óbitos'!G21</f>
        <v>92.022406144988111</v>
      </c>
      <c r="D20" s="16">
        <f t="shared" si="0"/>
        <v>460112.03072494053</v>
      </c>
      <c r="E20" s="16">
        <f t="shared" si="1"/>
        <v>89721.845991363414</v>
      </c>
      <c r="F20" s="16">
        <f t="shared" si="11"/>
        <v>549833.87671630399</v>
      </c>
      <c r="G20" s="16">
        <f t="shared" si="12"/>
        <v>63230.895822374958</v>
      </c>
      <c r="H20" s="16">
        <f t="shared" si="2"/>
        <v>92114.428551133096</v>
      </c>
      <c r="I20" s="16">
        <f t="shared" si="3"/>
        <v>41410.082765244653</v>
      </c>
      <c r="J20" s="16">
        <f t="shared" si="13"/>
        <v>133524.51131637776</v>
      </c>
      <c r="K20" s="16">
        <f t="shared" si="4"/>
        <v>353078.46957755124</v>
      </c>
      <c r="M20" s="87">
        <f t="shared" si="14"/>
        <v>2028</v>
      </c>
      <c r="N20" s="87">
        <f t="shared" si="15"/>
        <v>92.022406144988111</v>
      </c>
      <c r="O20" s="16">
        <f t="shared" si="5"/>
        <v>368089.62457995245</v>
      </c>
      <c r="P20" s="16">
        <f t="shared" si="6"/>
        <v>59814.563994242271</v>
      </c>
      <c r="Q20" s="16">
        <f t="shared" si="16"/>
        <v>427904.18857419473</v>
      </c>
      <c r="R20" s="16">
        <f t="shared" si="17"/>
        <v>47069.46074316142</v>
      </c>
      <c r="S20" s="16">
        <f t="shared" si="18"/>
        <v>92114.428551133096</v>
      </c>
      <c r="T20" s="16">
        <f t="shared" si="7"/>
        <v>27606.721843496434</v>
      </c>
      <c r="U20" s="16">
        <f t="shared" si="19"/>
        <v>119721.15039462953</v>
      </c>
      <c r="V20" s="16">
        <f t="shared" si="20"/>
        <v>261113.57743640381</v>
      </c>
      <c r="X20" s="87">
        <f t="shared" si="21"/>
        <v>2028</v>
      </c>
      <c r="Y20" s="87">
        <f t="shared" si="22"/>
        <v>92.022406144988111</v>
      </c>
      <c r="Z20" s="16">
        <f t="shared" si="8"/>
        <v>552134.43686992861</v>
      </c>
      <c r="AA20" s="16">
        <f t="shared" si="9"/>
        <v>119629.12798848454</v>
      </c>
      <c r="AB20" s="16">
        <f t="shared" si="23"/>
        <v>671763.56485841318</v>
      </c>
      <c r="AC20" s="16">
        <f t="shared" si="24"/>
        <v>80611.627783009579</v>
      </c>
      <c r="AD20" s="16">
        <f t="shared" si="25"/>
        <v>92114.428551133096</v>
      </c>
      <c r="AE20" s="16">
        <f t="shared" si="10"/>
        <v>55213.443686992869</v>
      </c>
      <c r="AF20" s="16">
        <f t="shared" si="26"/>
        <v>147327.87223812597</v>
      </c>
      <c r="AG20" s="16">
        <f t="shared" si="27"/>
        <v>443824.06483727763</v>
      </c>
    </row>
    <row r="21" spans="2:33" x14ac:dyDescent="0.25">
      <c r="B21" s="15">
        <f>'Projeção Óbitos'!B22</f>
        <v>2029</v>
      </c>
      <c r="C21" s="85">
        <f>'Projeção Óbitos'!G22</f>
        <v>92.480067007522791</v>
      </c>
      <c r="D21" s="16">
        <f t="shared" si="0"/>
        <v>462400.33503761393</v>
      </c>
      <c r="E21" s="16">
        <f t="shared" si="1"/>
        <v>90168.065332334721</v>
      </c>
      <c r="F21" s="16">
        <f t="shared" si="11"/>
        <v>552568.40036994871</v>
      </c>
      <c r="G21" s="16">
        <f t="shared" si="12"/>
        <v>63545.366042544105</v>
      </c>
      <c r="H21" s="16">
        <f t="shared" si="2"/>
        <v>92572.547074530317</v>
      </c>
      <c r="I21" s="16">
        <f t="shared" si="3"/>
        <v>41616.030153385254</v>
      </c>
      <c r="J21" s="16">
        <f t="shared" si="13"/>
        <v>134188.57722791558</v>
      </c>
      <c r="K21" s="16">
        <f t="shared" si="4"/>
        <v>354834.45709948905</v>
      </c>
      <c r="M21" s="87">
        <f t="shared" si="14"/>
        <v>2029</v>
      </c>
      <c r="N21" s="87">
        <f t="shared" si="15"/>
        <v>92.480067007522791</v>
      </c>
      <c r="O21" s="16">
        <f t="shared" si="5"/>
        <v>369920.26803009119</v>
      </c>
      <c r="P21" s="16">
        <f t="shared" si="6"/>
        <v>60112.043554889817</v>
      </c>
      <c r="Q21" s="16">
        <f t="shared" si="16"/>
        <v>430032.31158498098</v>
      </c>
      <c r="R21" s="16">
        <f t="shared" si="17"/>
        <v>47303.554274347909</v>
      </c>
      <c r="S21" s="16">
        <f t="shared" si="18"/>
        <v>92572.547074530317</v>
      </c>
      <c r="T21" s="16">
        <f t="shared" si="7"/>
        <v>27744.020102256836</v>
      </c>
      <c r="U21" s="16">
        <f t="shared" si="19"/>
        <v>120316.56717678715</v>
      </c>
      <c r="V21" s="16">
        <f t="shared" si="20"/>
        <v>262412.19013384596</v>
      </c>
      <c r="X21" s="87">
        <f t="shared" si="21"/>
        <v>2029</v>
      </c>
      <c r="Y21" s="87">
        <f t="shared" si="22"/>
        <v>92.480067007522791</v>
      </c>
      <c r="Z21" s="16">
        <f t="shared" si="8"/>
        <v>554880.40204513678</v>
      </c>
      <c r="AA21" s="16">
        <f t="shared" si="9"/>
        <v>120224.08710977963</v>
      </c>
      <c r="AB21" s="16">
        <f t="shared" si="23"/>
        <v>675104.48915491637</v>
      </c>
      <c r="AC21" s="16">
        <f t="shared" si="24"/>
        <v>81012.538698589968</v>
      </c>
      <c r="AD21" s="16">
        <f t="shared" si="25"/>
        <v>92572.547074530317</v>
      </c>
      <c r="AE21" s="16">
        <f t="shared" si="10"/>
        <v>55488.040204513673</v>
      </c>
      <c r="AF21" s="16">
        <f t="shared" si="26"/>
        <v>148060.58727904398</v>
      </c>
      <c r="AG21" s="16">
        <f t="shared" si="27"/>
        <v>446031.36317728239</v>
      </c>
    </row>
    <row r="22" spans="2:33" x14ac:dyDescent="0.25">
      <c r="B22" s="15">
        <f>'Projeção Óbitos'!B23</f>
        <v>2030</v>
      </c>
      <c r="C22" s="85">
        <f>'Projeção Óbitos'!G23</f>
        <v>92.912738729847888</v>
      </c>
      <c r="D22" s="16">
        <f t="shared" si="0"/>
        <v>464563.69364923943</v>
      </c>
      <c r="E22" s="16">
        <f t="shared" si="1"/>
        <v>90589.920261601685</v>
      </c>
      <c r="F22" s="16">
        <f t="shared" si="11"/>
        <v>555153.61391084106</v>
      </c>
      <c r="G22" s="16">
        <f t="shared" si="12"/>
        <v>63842.665599746724</v>
      </c>
      <c r="H22" s="16">
        <f t="shared" si="2"/>
        <v>93005.651468577737</v>
      </c>
      <c r="I22" s="16">
        <f t="shared" si="3"/>
        <v>41810.732428431547</v>
      </c>
      <c r="J22" s="16">
        <f t="shared" si="13"/>
        <v>134816.38389700928</v>
      </c>
      <c r="K22" s="16">
        <f t="shared" si="4"/>
        <v>356494.56441408501</v>
      </c>
      <c r="M22" s="87">
        <f t="shared" si="14"/>
        <v>2030</v>
      </c>
      <c r="N22" s="87">
        <f t="shared" si="15"/>
        <v>92.912738729847888</v>
      </c>
      <c r="O22" s="16">
        <f t="shared" si="5"/>
        <v>371650.95491939154</v>
      </c>
      <c r="P22" s="16">
        <f t="shared" si="6"/>
        <v>60393.28017440113</v>
      </c>
      <c r="Q22" s="16">
        <f t="shared" si="16"/>
        <v>432044.23509379267</v>
      </c>
      <c r="R22" s="16">
        <f t="shared" si="17"/>
        <v>47524.865860317193</v>
      </c>
      <c r="S22" s="16">
        <f t="shared" si="18"/>
        <v>93005.651468577737</v>
      </c>
      <c r="T22" s="16">
        <f t="shared" si="7"/>
        <v>27873.821618954367</v>
      </c>
      <c r="U22" s="16">
        <f t="shared" si="19"/>
        <v>120879.4730875321</v>
      </c>
      <c r="V22" s="16">
        <f t="shared" si="20"/>
        <v>263639.89614594338</v>
      </c>
      <c r="X22" s="87">
        <f t="shared" si="21"/>
        <v>2030</v>
      </c>
      <c r="Y22" s="87">
        <f t="shared" si="22"/>
        <v>92.912738729847888</v>
      </c>
      <c r="Z22" s="16">
        <f t="shared" si="8"/>
        <v>557476.43237908732</v>
      </c>
      <c r="AA22" s="16">
        <f t="shared" si="9"/>
        <v>120786.56034880226</v>
      </c>
      <c r="AB22" s="16">
        <f t="shared" si="23"/>
        <v>678262.99272788956</v>
      </c>
      <c r="AC22" s="16">
        <f t="shared" si="24"/>
        <v>81391.559127346743</v>
      </c>
      <c r="AD22" s="16">
        <f t="shared" si="25"/>
        <v>93005.651468577737</v>
      </c>
      <c r="AE22" s="16">
        <f t="shared" si="10"/>
        <v>55747.643237908735</v>
      </c>
      <c r="AF22" s="16">
        <f t="shared" si="26"/>
        <v>148753.29470648646</v>
      </c>
      <c r="AG22" s="16">
        <f t="shared" si="27"/>
        <v>448118.13889405638</v>
      </c>
    </row>
    <row r="23" spans="2:33" x14ac:dyDescent="0.25">
      <c r="B23" s="15">
        <f>'Projeção Óbitos'!B24</f>
        <v>2031</v>
      </c>
      <c r="C23" s="85">
        <f>'Projeção Óbitos'!G24</f>
        <v>93.320121751344743</v>
      </c>
      <c r="D23" s="16">
        <f t="shared" si="0"/>
        <v>466600.6087567237</v>
      </c>
      <c r="E23" s="16">
        <f t="shared" si="1"/>
        <v>90987.118707561123</v>
      </c>
      <c r="F23" s="16">
        <f t="shared" si="11"/>
        <v>557587.72746428486</v>
      </c>
      <c r="G23" s="16">
        <f t="shared" si="12"/>
        <v>64122.588658392764</v>
      </c>
      <c r="H23" s="16">
        <f t="shared" si="2"/>
        <v>93413.44187309609</v>
      </c>
      <c r="I23" s="16">
        <f t="shared" si="3"/>
        <v>41994.054788105132</v>
      </c>
      <c r="J23" s="16">
        <f t="shared" si="13"/>
        <v>135407.49666120124</v>
      </c>
      <c r="K23" s="16">
        <f t="shared" si="4"/>
        <v>358057.64214469085</v>
      </c>
      <c r="M23" s="87">
        <f t="shared" si="14"/>
        <v>2031</v>
      </c>
      <c r="N23" s="87">
        <f t="shared" si="15"/>
        <v>93.320121751344743</v>
      </c>
      <c r="O23" s="16">
        <f t="shared" si="5"/>
        <v>373280.48700537899</v>
      </c>
      <c r="P23" s="16">
        <f t="shared" si="6"/>
        <v>60658.07913837408</v>
      </c>
      <c r="Q23" s="16">
        <f t="shared" si="16"/>
        <v>433938.56614375307</v>
      </c>
      <c r="R23" s="16">
        <f t="shared" si="17"/>
        <v>47733.242275812838</v>
      </c>
      <c r="S23" s="16">
        <f t="shared" si="18"/>
        <v>93413.44187309609</v>
      </c>
      <c r="T23" s="16">
        <f t="shared" si="7"/>
        <v>27996.036525403422</v>
      </c>
      <c r="U23" s="16">
        <f t="shared" si="19"/>
        <v>121409.47839849952</v>
      </c>
      <c r="V23" s="16">
        <f t="shared" si="20"/>
        <v>264795.84546944074</v>
      </c>
      <c r="X23" s="87">
        <f t="shared" si="21"/>
        <v>2031</v>
      </c>
      <c r="Y23" s="87">
        <f t="shared" si="22"/>
        <v>93.320121751344743</v>
      </c>
      <c r="Z23" s="16">
        <f t="shared" si="8"/>
        <v>559920.73050806846</v>
      </c>
      <c r="AA23" s="16">
        <f t="shared" si="9"/>
        <v>121316.15827674816</v>
      </c>
      <c r="AB23" s="16">
        <f t="shared" si="23"/>
        <v>681236.88878481661</v>
      </c>
      <c r="AC23" s="16">
        <f t="shared" si="24"/>
        <v>81748.426654177994</v>
      </c>
      <c r="AD23" s="16">
        <f t="shared" si="25"/>
        <v>93413.44187309609</v>
      </c>
      <c r="AE23" s="16">
        <f t="shared" si="10"/>
        <v>55992.073050806845</v>
      </c>
      <c r="AF23" s="16">
        <f t="shared" si="26"/>
        <v>149405.51492390293</v>
      </c>
      <c r="AG23" s="16">
        <f t="shared" si="27"/>
        <v>450082.94720673573</v>
      </c>
    </row>
    <row r="24" spans="2:33" x14ac:dyDescent="0.25">
      <c r="B24" s="15">
        <f>'Projeção Óbitos'!B25</f>
        <v>2032</v>
      </c>
      <c r="C24" s="85">
        <f>'Projeção Óbitos'!G25</f>
        <v>93.701653311237465</v>
      </c>
      <c r="D24" s="16">
        <f t="shared" si="0"/>
        <v>468508.2665561873</v>
      </c>
      <c r="E24" s="16">
        <f t="shared" si="1"/>
        <v>91359.111978456524</v>
      </c>
      <c r="F24" s="16">
        <f t="shared" si="11"/>
        <v>559867.37853464379</v>
      </c>
      <c r="G24" s="16">
        <f t="shared" si="12"/>
        <v>64384.748531484038</v>
      </c>
      <c r="H24" s="16">
        <f t="shared" si="2"/>
        <v>93795.354964548707</v>
      </c>
      <c r="I24" s="16">
        <f t="shared" si="3"/>
        <v>42165.743990056857</v>
      </c>
      <c r="J24" s="16">
        <f t="shared" si="13"/>
        <v>135961.09895460558</v>
      </c>
      <c r="K24" s="16">
        <f t="shared" si="4"/>
        <v>359521.53104855417</v>
      </c>
      <c r="M24" s="87">
        <f t="shared" si="14"/>
        <v>2032</v>
      </c>
      <c r="N24" s="87">
        <f t="shared" si="15"/>
        <v>93.701653311237465</v>
      </c>
      <c r="O24" s="16">
        <f t="shared" si="5"/>
        <v>374806.61324494984</v>
      </c>
      <c r="P24" s="16">
        <f t="shared" si="6"/>
        <v>60906.074652304349</v>
      </c>
      <c r="Q24" s="16">
        <f t="shared" si="16"/>
        <v>435712.68789725419</v>
      </c>
      <c r="R24" s="16">
        <f t="shared" si="17"/>
        <v>47928.395668697958</v>
      </c>
      <c r="S24" s="16">
        <f t="shared" si="18"/>
        <v>93795.354964548707</v>
      </c>
      <c r="T24" s="16">
        <f t="shared" si="7"/>
        <v>28110.495993371238</v>
      </c>
      <c r="U24" s="16">
        <f t="shared" si="19"/>
        <v>121905.85095791995</v>
      </c>
      <c r="V24" s="16">
        <f t="shared" si="20"/>
        <v>265878.44127063628</v>
      </c>
      <c r="X24" s="87">
        <f t="shared" si="21"/>
        <v>2032</v>
      </c>
      <c r="Y24" s="87">
        <f t="shared" si="22"/>
        <v>93.701653311237465</v>
      </c>
      <c r="Z24" s="16">
        <f t="shared" si="8"/>
        <v>562209.91986742476</v>
      </c>
      <c r="AA24" s="16">
        <f t="shared" si="9"/>
        <v>121812.1493046087</v>
      </c>
      <c r="AB24" s="16">
        <f t="shared" si="23"/>
        <v>684022.06917203346</v>
      </c>
      <c r="AC24" s="16">
        <f t="shared" si="24"/>
        <v>82082.64830064401</v>
      </c>
      <c r="AD24" s="16">
        <f t="shared" si="25"/>
        <v>93795.354964548707</v>
      </c>
      <c r="AE24" s="16">
        <f t="shared" si="10"/>
        <v>56220.991986742476</v>
      </c>
      <c r="AF24" s="16">
        <f t="shared" si="26"/>
        <v>150016.3469512912</v>
      </c>
      <c r="AG24" s="16">
        <f t="shared" si="27"/>
        <v>451923.07392009825</v>
      </c>
    </row>
    <row r="25" spans="2:33" x14ac:dyDescent="0.25">
      <c r="B25" s="15">
        <f>'Projeção Óbitos'!B26</f>
        <v>2033</v>
      </c>
      <c r="C25" s="85">
        <f>'Projeção Óbitos'!G26</f>
        <v>94.057316055669531</v>
      </c>
      <c r="D25" s="16">
        <f t="shared" si="0"/>
        <v>470286.58027834765</v>
      </c>
      <c r="E25" s="16">
        <f t="shared" si="1"/>
        <v>91705.883154277806</v>
      </c>
      <c r="F25" s="16">
        <f t="shared" si="11"/>
        <v>561992.4634326254</v>
      </c>
      <c r="G25" s="16">
        <f t="shared" si="12"/>
        <v>64629.133294751926</v>
      </c>
      <c r="H25" s="16">
        <f t="shared" si="2"/>
        <v>94151.373371725203</v>
      </c>
      <c r="I25" s="16">
        <f t="shared" si="3"/>
        <v>42325.792225051293</v>
      </c>
      <c r="J25" s="16">
        <f t="shared" si="13"/>
        <v>136477.1655967765</v>
      </c>
      <c r="K25" s="16">
        <f t="shared" si="4"/>
        <v>360886.16454109695</v>
      </c>
      <c r="M25" s="87">
        <f t="shared" si="14"/>
        <v>2033</v>
      </c>
      <c r="N25" s="87">
        <f t="shared" si="15"/>
        <v>94.057316055669531</v>
      </c>
      <c r="O25" s="16">
        <f t="shared" si="5"/>
        <v>376229.26422267815</v>
      </c>
      <c r="P25" s="16">
        <f t="shared" si="6"/>
        <v>61137.255436185194</v>
      </c>
      <c r="Q25" s="16">
        <f t="shared" si="16"/>
        <v>437366.51965886331</v>
      </c>
      <c r="R25" s="16">
        <f t="shared" si="17"/>
        <v>48110.317162474967</v>
      </c>
      <c r="S25" s="16">
        <f t="shared" si="18"/>
        <v>94151.373371725203</v>
      </c>
      <c r="T25" s="16">
        <f t="shared" si="7"/>
        <v>28217.19481670086</v>
      </c>
      <c r="U25" s="16">
        <f t="shared" si="19"/>
        <v>122368.56818842606</v>
      </c>
      <c r="V25" s="16">
        <f t="shared" si="20"/>
        <v>266887.63430796226</v>
      </c>
      <c r="X25" s="87">
        <f t="shared" si="21"/>
        <v>2033</v>
      </c>
      <c r="Y25" s="87">
        <f t="shared" si="22"/>
        <v>94.057316055669531</v>
      </c>
      <c r="Z25" s="16">
        <f t="shared" si="8"/>
        <v>564343.89633401716</v>
      </c>
      <c r="AA25" s="16">
        <f t="shared" si="9"/>
        <v>122274.51087237039</v>
      </c>
      <c r="AB25" s="16">
        <f t="shared" si="23"/>
        <v>686618.40720638749</v>
      </c>
      <c r="AC25" s="16">
        <f t="shared" si="24"/>
        <v>82394.208864766493</v>
      </c>
      <c r="AD25" s="16">
        <f t="shared" si="25"/>
        <v>94151.373371725203</v>
      </c>
      <c r="AE25" s="16">
        <f t="shared" si="10"/>
        <v>56434.389633401719</v>
      </c>
      <c r="AF25" s="16">
        <f t="shared" si="26"/>
        <v>150585.76300512691</v>
      </c>
      <c r="AG25" s="16">
        <f t="shared" si="27"/>
        <v>453638.43533649406</v>
      </c>
    </row>
    <row r="26" spans="2:33" x14ac:dyDescent="0.25">
      <c r="B26" s="15">
        <f>'Projeção Óbitos'!B27</f>
        <v>2034</v>
      </c>
      <c r="C26" s="85">
        <f>'Projeção Óbitos'!G27</f>
        <v>94.387262863853223</v>
      </c>
      <c r="D26" s="16">
        <f t="shared" si="0"/>
        <v>471936.31431926612</v>
      </c>
      <c r="E26" s="16">
        <f t="shared" si="1"/>
        <v>92027.581292256902</v>
      </c>
      <c r="F26" s="16">
        <f t="shared" si="11"/>
        <v>563963.89561152307</v>
      </c>
      <c r="G26" s="16">
        <f t="shared" si="12"/>
        <v>64855.847995325159</v>
      </c>
      <c r="H26" s="16">
        <f t="shared" si="2"/>
        <v>94481.650126717082</v>
      </c>
      <c r="I26" s="16">
        <f t="shared" si="3"/>
        <v>42474.268288733954</v>
      </c>
      <c r="J26" s="16">
        <f t="shared" si="13"/>
        <v>136955.91841545104</v>
      </c>
      <c r="K26" s="16">
        <f t="shared" si="4"/>
        <v>362152.12920074683</v>
      </c>
      <c r="M26" s="87">
        <f t="shared" si="14"/>
        <v>2034</v>
      </c>
      <c r="N26" s="87">
        <f t="shared" si="15"/>
        <v>94.387262863853223</v>
      </c>
      <c r="O26" s="16">
        <f t="shared" si="5"/>
        <v>377549.05145541287</v>
      </c>
      <c r="P26" s="16">
        <f t="shared" si="6"/>
        <v>61351.720861504597</v>
      </c>
      <c r="Q26" s="16">
        <f t="shared" si="16"/>
        <v>438900.77231691749</v>
      </c>
      <c r="R26" s="16">
        <f t="shared" si="17"/>
        <v>48279.084954860926</v>
      </c>
      <c r="S26" s="16">
        <f t="shared" si="18"/>
        <v>94481.650126717082</v>
      </c>
      <c r="T26" s="16">
        <f t="shared" si="7"/>
        <v>28316.178859155967</v>
      </c>
      <c r="U26" s="16">
        <f t="shared" si="19"/>
        <v>122797.82898587306</v>
      </c>
      <c r="V26" s="16">
        <f t="shared" si="20"/>
        <v>267823.85837618349</v>
      </c>
      <c r="X26" s="87">
        <f t="shared" si="21"/>
        <v>2034</v>
      </c>
      <c r="Y26" s="87">
        <f t="shared" si="22"/>
        <v>94.387262863853223</v>
      </c>
      <c r="Z26" s="16">
        <f t="shared" si="8"/>
        <v>566323.57718311937</v>
      </c>
      <c r="AA26" s="16">
        <f t="shared" si="9"/>
        <v>122703.44172300919</v>
      </c>
      <c r="AB26" s="16">
        <f t="shared" si="23"/>
        <v>689027.01890612859</v>
      </c>
      <c r="AC26" s="16">
        <f t="shared" si="24"/>
        <v>82683.242268735426</v>
      </c>
      <c r="AD26" s="16">
        <f t="shared" si="25"/>
        <v>94481.650126717082</v>
      </c>
      <c r="AE26" s="16">
        <f t="shared" si="10"/>
        <v>56632.357718311934</v>
      </c>
      <c r="AF26" s="16">
        <f t="shared" si="26"/>
        <v>151114.007845029</v>
      </c>
      <c r="AG26" s="16">
        <f t="shared" si="27"/>
        <v>455229.76879236416</v>
      </c>
    </row>
    <row r="27" spans="2:33" x14ac:dyDescent="0.25">
      <c r="B27" s="15">
        <f>'Projeção Óbitos'!B28</f>
        <v>2035</v>
      </c>
      <c r="C27" s="85">
        <f>'Projeção Óbitos'!G28</f>
        <v>94.691601164424128</v>
      </c>
      <c r="D27" s="16">
        <f t="shared" si="0"/>
        <v>473458.00582212064</v>
      </c>
      <c r="E27" s="16">
        <f t="shared" si="1"/>
        <v>92324.311135313532</v>
      </c>
      <c r="F27" s="16">
        <f t="shared" si="11"/>
        <v>565782.31695743417</v>
      </c>
      <c r="G27" s="16">
        <f t="shared" si="12"/>
        <v>65064.966450104934</v>
      </c>
      <c r="H27" s="16">
        <f t="shared" si="2"/>
        <v>94786.292765588558</v>
      </c>
      <c r="I27" s="16">
        <f t="shared" si="3"/>
        <v>42611.220523990858</v>
      </c>
      <c r="J27" s="16">
        <f t="shared" si="13"/>
        <v>137397.51328957942</v>
      </c>
      <c r="K27" s="16">
        <f t="shared" si="4"/>
        <v>363319.83721774979</v>
      </c>
      <c r="M27" s="87">
        <f t="shared" si="14"/>
        <v>2035</v>
      </c>
      <c r="N27" s="87">
        <f t="shared" si="15"/>
        <v>94.691601164424128</v>
      </c>
      <c r="O27" s="16">
        <f t="shared" si="5"/>
        <v>378766.40465769649</v>
      </c>
      <c r="P27" s="16">
        <f t="shared" si="6"/>
        <v>61549.540756875685</v>
      </c>
      <c r="Q27" s="16">
        <f t="shared" si="16"/>
        <v>440315.9454145722</v>
      </c>
      <c r="R27" s="16">
        <f t="shared" si="17"/>
        <v>48434.753995602943</v>
      </c>
      <c r="S27" s="16">
        <f t="shared" si="18"/>
        <v>94786.292765588558</v>
      </c>
      <c r="T27" s="16">
        <f t="shared" si="7"/>
        <v>28407.480349327237</v>
      </c>
      <c r="U27" s="16">
        <f t="shared" si="19"/>
        <v>123193.77311491579</v>
      </c>
      <c r="V27" s="16">
        <f t="shared" si="20"/>
        <v>268687.41830405348</v>
      </c>
      <c r="X27" s="87">
        <f t="shared" si="21"/>
        <v>2035</v>
      </c>
      <c r="Y27" s="87">
        <f t="shared" si="22"/>
        <v>94.691601164424128</v>
      </c>
      <c r="Z27" s="16">
        <f t="shared" si="8"/>
        <v>568149.60698654479</v>
      </c>
      <c r="AA27" s="16">
        <f t="shared" si="9"/>
        <v>123099.08151375137</v>
      </c>
      <c r="AB27" s="16">
        <f t="shared" si="23"/>
        <v>691248.68850029621</v>
      </c>
      <c r="AC27" s="16">
        <f t="shared" si="24"/>
        <v>82949.842620035546</v>
      </c>
      <c r="AD27" s="16">
        <f t="shared" si="25"/>
        <v>94786.292765588558</v>
      </c>
      <c r="AE27" s="16">
        <f t="shared" si="10"/>
        <v>56814.960698654475</v>
      </c>
      <c r="AF27" s="16">
        <f t="shared" si="26"/>
        <v>151601.25346424303</v>
      </c>
      <c r="AG27" s="16">
        <f t="shared" si="27"/>
        <v>456697.59241601767</v>
      </c>
    </row>
    <row r="28" spans="2:33" x14ac:dyDescent="0.25">
      <c r="B28" s="15">
        <f>'Projeção Óbitos'!B29</f>
        <v>2036</v>
      </c>
      <c r="C28" s="85">
        <f>'Projeção Óbitos'!G29</f>
        <v>94.970149981449936</v>
      </c>
      <c r="D28" s="16">
        <f t="shared" si="0"/>
        <v>474850.7499072497</v>
      </c>
      <c r="E28" s="16">
        <f t="shared" si="1"/>
        <v>92595.896231913692</v>
      </c>
      <c r="F28" s="16">
        <f t="shared" si="11"/>
        <v>567446.64613916341</v>
      </c>
      <c r="G28" s="16">
        <f t="shared" si="12"/>
        <v>65256.364306003794</v>
      </c>
      <c r="H28" s="16">
        <f t="shared" si="2"/>
        <v>95065.12013143138</v>
      </c>
      <c r="I28" s="16">
        <f t="shared" si="3"/>
        <v>42736.567491652473</v>
      </c>
      <c r="J28" s="16">
        <f t="shared" si="13"/>
        <v>137801.68762308385</v>
      </c>
      <c r="K28" s="16">
        <f t="shared" si="4"/>
        <v>364388.5942100758</v>
      </c>
      <c r="M28" s="87">
        <f t="shared" si="14"/>
        <v>2036</v>
      </c>
      <c r="N28" s="87">
        <f t="shared" si="15"/>
        <v>94.970149981449936</v>
      </c>
      <c r="O28" s="16">
        <f t="shared" si="5"/>
        <v>379880.59992579976</v>
      </c>
      <c r="P28" s="16">
        <f t="shared" si="6"/>
        <v>61730.597487942461</v>
      </c>
      <c r="Q28" s="16">
        <f t="shared" si="16"/>
        <v>441611.19741374219</v>
      </c>
      <c r="R28" s="16">
        <f t="shared" si="17"/>
        <v>48577.23171551164</v>
      </c>
      <c r="S28" s="16">
        <f t="shared" si="18"/>
        <v>95065.12013143138</v>
      </c>
      <c r="T28" s="16">
        <f t="shared" si="7"/>
        <v>28491.044994434982</v>
      </c>
      <c r="U28" s="16">
        <f t="shared" si="19"/>
        <v>123556.16512586636</v>
      </c>
      <c r="V28" s="16">
        <f t="shared" si="20"/>
        <v>269477.80057236418</v>
      </c>
      <c r="X28" s="87">
        <f t="shared" si="21"/>
        <v>2036</v>
      </c>
      <c r="Y28" s="87">
        <f t="shared" si="22"/>
        <v>94.970149981449936</v>
      </c>
      <c r="Z28" s="16">
        <f t="shared" si="8"/>
        <v>569820.89988869964</v>
      </c>
      <c r="AA28" s="16">
        <f t="shared" si="9"/>
        <v>123461.19497588492</v>
      </c>
      <c r="AB28" s="16">
        <f t="shared" si="23"/>
        <v>693282.09486458451</v>
      </c>
      <c r="AC28" s="16">
        <f t="shared" si="24"/>
        <v>83193.851383750138</v>
      </c>
      <c r="AD28" s="16">
        <f t="shared" si="25"/>
        <v>95065.12013143138</v>
      </c>
      <c r="AE28" s="16">
        <f t="shared" si="10"/>
        <v>56982.089988869964</v>
      </c>
      <c r="AF28" s="16">
        <f t="shared" si="26"/>
        <v>152047.21012030134</v>
      </c>
      <c r="AG28" s="16">
        <f t="shared" si="27"/>
        <v>458041.03336053307</v>
      </c>
    </row>
    <row r="29" spans="2:33" x14ac:dyDescent="0.25">
      <c r="B29" s="15">
        <f>'Projeção Óbitos'!B30</f>
        <v>2037</v>
      </c>
      <c r="C29" s="85">
        <f>'Projeção Óbitos'!G30</f>
        <v>95.222702308213485</v>
      </c>
      <c r="D29" s="16">
        <f t="shared" si="0"/>
        <v>476113.51154106745</v>
      </c>
      <c r="E29" s="16">
        <f t="shared" si="1"/>
        <v>92842.13475050815</v>
      </c>
      <c r="F29" s="16">
        <f t="shared" si="11"/>
        <v>568955.64629157563</v>
      </c>
      <c r="G29" s="16">
        <f t="shared" si="12"/>
        <v>65429.899323531201</v>
      </c>
      <c r="H29" s="16">
        <f t="shared" si="2"/>
        <v>95317.925010521692</v>
      </c>
      <c r="I29" s="16">
        <f t="shared" si="3"/>
        <v>42850.216038696075</v>
      </c>
      <c r="J29" s="16">
        <f t="shared" si="13"/>
        <v>138168.14104921778</v>
      </c>
      <c r="K29" s="16">
        <f t="shared" si="4"/>
        <v>365357.60591882665</v>
      </c>
      <c r="M29" s="87">
        <f t="shared" si="14"/>
        <v>2037</v>
      </c>
      <c r="N29" s="87">
        <f t="shared" si="15"/>
        <v>95.222702308213485</v>
      </c>
      <c r="O29" s="16">
        <f t="shared" si="5"/>
        <v>380890.80923285394</v>
      </c>
      <c r="P29" s="16">
        <f t="shared" si="6"/>
        <v>61894.756500338764</v>
      </c>
      <c r="Q29" s="16">
        <f t="shared" si="16"/>
        <v>442785.56573319272</v>
      </c>
      <c r="R29" s="16">
        <f t="shared" si="17"/>
        <v>48706.4122306512</v>
      </c>
      <c r="S29" s="16">
        <f t="shared" si="18"/>
        <v>95317.925010521692</v>
      </c>
      <c r="T29" s="16">
        <f t="shared" si="7"/>
        <v>28566.810692464045</v>
      </c>
      <c r="U29" s="16">
        <f t="shared" si="19"/>
        <v>123884.73570298574</v>
      </c>
      <c r="V29" s="16">
        <f t="shared" si="20"/>
        <v>270194.41779955581</v>
      </c>
      <c r="X29" s="87">
        <f t="shared" si="21"/>
        <v>2037</v>
      </c>
      <c r="Y29" s="87">
        <f t="shared" si="22"/>
        <v>95.222702308213485</v>
      </c>
      <c r="Z29" s="16">
        <f t="shared" si="8"/>
        <v>571336.21384928096</v>
      </c>
      <c r="AA29" s="16">
        <f t="shared" si="9"/>
        <v>123789.51300067753</v>
      </c>
      <c r="AB29" s="16">
        <f t="shared" si="23"/>
        <v>695125.72684995853</v>
      </c>
      <c r="AC29" s="16">
        <f t="shared" si="24"/>
        <v>83415.087221995025</v>
      </c>
      <c r="AD29" s="16">
        <f t="shared" si="25"/>
        <v>95317.925010521692</v>
      </c>
      <c r="AE29" s="16">
        <f t="shared" si="10"/>
        <v>57133.62138492809</v>
      </c>
      <c r="AF29" s="16">
        <f t="shared" si="26"/>
        <v>152451.54639544978</v>
      </c>
      <c r="AG29" s="16">
        <f t="shared" si="27"/>
        <v>459259.09323251375</v>
      </c>
    </row>
    <row r="30" spans="2:33" x14ac:dyDescent="0.25">
      <c r="B30" s="15">
        <f>'Projeção Óbitos'!B31</f>
        <v>2038</v>
      </c>
      <c r="C30" s="85">
        <f>'Projeção Óbitos'!G31</f>
        <v>95.449463085496646</v>
      </c>
      <c r="D30" s="16">
        <f t="shared" si="0"/>
        <v>477247.31542748323</v>
      </c>
      <c r="E30" s="16">
        <f t="shared" si="1"/>
        <v>93063.226508359236</v>
      </c>
      <c r="F30" s="16">
        <f t="shared" si="11"/>
        <v>570310.54193584248</v>
      </c>
      <c r="G30" s="16">
        <f t="shared" si="12"/>
        <v>65585.712322621883</v>
      </c>
      <c r="H30" s="16">
        <f t="shared" si="2"/>
        <v>95544.912548582142</v>
      </c>
      <c r="I30" s="16">
        <f t="shared" si="3"/>
        <v>42952.258388473492</v>
      </c>
      <c r="J30" s="16">
        <f t="shared" si="13"/>
        <v>138497.17093705563</v>
      </c>
      <c r="K30" s="16">
        <f t="shared" si="4"/>
        <v>366227.65867616498</v>
      </c>
      <c r="M30" s="87">
        <f t="shared" si="14"/>
        <v>2038</v>
      </c>
      <c r="N30" s="87">
        <f t="shared" si="15"/>
        <v>95.449463085496646</v>
      </c>
      <c r="O30" s="16">
        <f t="shared" si="5"/>
        <v>381797.85234198661</v>
      </c>
      <c r="P30" s="16">
        <f t="shared" si="6"/>
        <v>62042.151005572821</v>
      </c>
      <c r="Q30" s="16">
        <f t="shared" si="16"/>
        <v>443840.00334755942</v>
      </c>
      <c r="R30" s="16">
        <f t="shared" si="17"/>
        <v>48822.400368231538</v>
      </c>
      <c r="S30" s="16">
        <f t="shared" si="18"/>
        <v>95544.912548582142</v>
      </c>
      <c r="T30" s="16">
        <f t="shared" si="7"/>
        <v>28634.838925648994</v>
      </c>
      <c r="U30" s="16">
        <f t="shared" si="19"/>
        <v>124179.75147423113</v>
      </c>
      <c r="V30" s="16">
        <f t="shared" si="20"/>
        <v>270837.85150509677</v>
      </c>
      <c r="X30" s="87">
        <f t="shared" si="21"/>
        <v>2038</v>
      </c>
      <c r="Y30" s="87">
        <f t="shared" si="22"/>
        <v>95.449463085496646</v>
      </c>
      <c r="Z30" s="16">
        <f t="shared" si="8"/>
        <v>572696.77851297986</v>
      </c>
      <c r="AA30" s="16">
        <f t="shared" si="9"/>
        <v>124084.30201114564</v>
      </c>
      <c r="AB30" s="16">
        <f t="shared" si="23"/>
        <v>696781.08052412549</v>
      </c>
      <c r="AC30" s="16">
        <f t="shared" si="24"/>
        <v>83613.729662895057</v>
      </c>
      <c r="AD30" s="16">
        <f t="shared" si="25"/>
        <v>95544.912548582142</v>
      </c>
      <c r="AE30" s="16">
        <f t="shared" si="10"/>
        <v>57269.677851297987</v>
      </c>
      <c r="AF30" s="16">
        <f t="shared" si="26"/>
        <v>152814.59039988014</v>
      </c>
      <c r="AG30" s="16">
        <f t="shared" si="27"/>
        <v>460352.76046135026</v>
      </c>
    </row>
    <row r="31" spans="2:33" x14ac:dyDescent="0.25">
      <c r="B31" s="15">
        <f>'Projeção Óbitos'!B32</f>
        <v>2039</v>
      </c>
      <c r="C31" s="85">
        <f>'Projeção Óbitos'!G32</f>
        <v>95.650593869439916</v>
      </c>
      <c r="D31" s="16">
        <f t="shared" si="0"/>
        <v>478252.9693471996</v>
      </c>
      <c r="E31" s="16">
        <f t="shared" si="1"/>
        <v>93259.329022703911</v>
      </c>
      <c r="F31" s="16">
        <f t="shared" si="11"/>
        <v>571512.29836990347</v>
      </c>
      <c r="G31" s="16">
        <f t="shared" si="12"/>
        <v>65723.914312538895</v>
      </c>
      <c r="H31" s="16">
        <f t="shared" si="2"/>
        <v>95746.244463309355</v>
      </c>
      <c r="I31" s="16">
        <f t="shared" si="3"/>
        <v>43042.767241247959</v>
      </c>
      <c r="J31" s="16">
        <f t="shared" si="13"/>
        <v>138789.01170455731</v>
      </c>
      <c r="K31" s="16">
        <f t="shared" si="4"/>
        <v>366999.3723528072</v>
      </c>
      <c r="M31" s="87">
        <f t="shared" si="14"/>
        <v>2039</v>
      </c>
      <c r="N31" s="87">
        <f t="shared" si="15"/>
        <v>95.650593869439916</v>
      </c>
      <c r="O31" s="16">
        <f t="shared" si="5"/>
        <v>382602.37547775969</v>
      </c>
      <c r="P31" s="16">
        <f t="shared" si="6"/>
        <v>62172.886015135948</v>
      </c>
      <c r="Q31" s="16">
        <f t="shared" si="16"/>
        <v>444775.26149289566</v>
      </c>
      <c r="R31" s="16">
        <f t="shared" si="17"/>
        <v>48925.278764218521</v>
      </c>
      <c r="S31" s="16">
        <f t="shared" si="18"/>
        <v>95746.244463309355</v>
      </c>
      <c r="T31" s="16">
        <f t="shared" si="7"/>
        <v>28695.178160831976</v>
      </c>
      <c r="U31" s="16">
        <f t="shared" si="19"/>
        <v>124441.42262414133</v>
      </c>
      <c r="V31" s="16">
        <f t="shared" si="20"/>
        <v>271408.56010453583</v>
      </c>
      <c r="X31" s="87">
        <f t="shared" si="21"/>
        <v>2039</v>
      </c>
      <c r="Y31" s="87">
        <f t="shared" si="22"/>
        <v>95.650593869439916</v>
      </c>
      <c r="Z31" s="16">
        <f t="shared" si="8"/>
        <v>573903.56321663945</v>
      </c>
      <c r="AA31" s="16">
        <f t="shared" si="9"/>
        <v>124345.7720302719</v>
      </c>
      <c r="AB31" s="16">
        <f t="shared" si="23"/>
        <v>698249.33524691139</v>
      </c>
      <c r="AC31" s="16">
        <f t="shared" si="24"/>
        <v>83789.920229629366</v>
      </c>
      <c r="AD31" s="16">
        <f t="shared" si="25"/>
        <v>95746.244463309355</v>
      </c>
      <c r="AE31" s="16">
        <f t="shared" si="10"/>
        <v>57390.356321663952</v>
      </c>
      <c r="AF31" s="16">
        <f t="shared" si="26"/>
        <v>153136.6007849733</v>
      </c>
      <c r="AG31" s="16">
        <f t="shared" si="27"/>
        <v>461322.81423230871</v>
      </c>
    </row>
    <row r="32" spans="2:33" x14ac:dyDescent="0.25">
      <c r="B32" s="15">
        <f>'Projeção Óbitos'!B33</f>
        <v>2040</v>
      </c>
      <c r="C32" s="85">
        <f>'Projeção Óbitos'!G33</f>
        <v>95.826310756875728</v>
      </c>
      <c r="D32" s="16">
        <f t="shared" si="0"/>
        <v>479131.55378437863</v>
      </c>
      <c r="E32" s="16">
        <f t="shared" si="1"/>
        <v>93430.652987953828</v>
      </c>
      <c r="F32" s="16">
        <f t="shared" si="11"/>
        <v>572562.20677233243</v>
      </c>
      <c r="G32" s="16">
        <f t="shared" si="12"/>
        <v>65844.653778818232</v>
      </c>
      <c r="H32" s="16">
        <f t="shared" si="2"/>
        <v>95922.137067632604</v>
      </c>
      <c r="I32" s="16">
        <f t="shared" si="3"/>
        <v>43121.839840594075</v>
      </c>
      <c r="J32" s="16">
        <f t="shared" si="13"/>
        <v>139043.97690822667</v>
      </c>
      <c r="K32" s="16">
        <f t="shared" si="4"/>
        <v>367673.5760852875</v>
      </c>
      <c r="M32" s="87">
        <f t="shared" si="14"/>
        <v>2040</v>
      </c>
      <c r="N32" s="87">
        <f t="shared" si="15"/>
        <v>95.826310756875728</v>
      </c>
      <c r="O32" s="16">
        <f t="shared" si="5"/>
        <v>383305.2430275029</v>
      </c>
      <c r="P32" s="16">
        <f t="shared" si="6"/>
        <v>62287.101991969226</v>
      </c>
      <c r="Q32" s="16">
        <f t="shared" si="16"/>
        <v>445592.34501947212</v>
      </c>
      <c r="R32" s="16">
        <f t="shared" si="17"/>
        <v>49015.157952141933</v>
      </c>
      <c r="S32" s="16">
        <f t="shared" si="18"/>
        <v>95922.137067632604</v>
      </c>
      <c r="T32" s="16">
        <f t="shared" si="7"/>
        <v>28747.893227062719</v>
      </c>
      <c r="U32" s="16">
        <f t="shared" si="19"/>
        <v>124670.03029469532</v>
      </c>
      <c r="V32" s="16">
        <f t="shared" si="20"/>
        <v>271907.15677263483</v>
      </c>
      <c r="X32" s="87">
        <f t="shared" si="21"/>
        <v>2040</v>
      </c>
      <c r="Y32" s="87">
        <f t="shared" si="22"/>
        <v>95.826310756875728</v>
      </c>
      <c r="Z32" s="16">
        <f t="shared" si="8"/>
        <v>574957.86454125436</v>
      </c>
      <c r="AA32" s="16">
        <f t="shared" si="9"/>
        <v>124574.20398393845</v>
      </c>
      <c r="AB32" s="16">
        <f t="shared" si="23"/>
        <v>699532.06852519279</v>
      </c>
      <c r="AC32" s="16">
        <f t="shared" si="24"/>
        <v>83943.848223023131</v>
      </c>
      <c r="AD32" s="16">
        <f t="shared" si="25"/>
        <v>95922.137067632604</v>
      </c>
      <c r="AE32" s="16">
        <f t="shared" si="10"/>
        <v>57495.786454125438</v>
      </c>
      <c r="AF32" s="16">
        <f t="shared" si="26"/>
        <v>153417.92352175806</v>
      </c>
      <c r="AG32" s="16">
        <f t="shared" si="27"/>
        <v>462170.29678041162</v>
      </c>
    </row>
    <row r="33" spans="2:33" x14ac:dyDescent="0.25">
      <c r="B33" s="15">
        <f>'Projeção Óbitos'!B34</f>
        <v>2041</v>
      </c>
      <c r="C33" s="85">
        <f>'Projeção Óbitos'!G34</f>
        <v>95.976839347938949</v>
      </c>
      <c r="D33" s="16">
        <f t="shared" si="0"/>
        <v>479884.19673969474</v>
      </c>
      <c r="E33" s="16">
        <f t="shared" si="1"/>
        <v>93577.418364240468</v>
      </c>
      <c r="F33" s="16">
        <f t="shared" si="11"/>
        <v>573461.61510393524</v>
      </c>
      <c r="G33" s="16">
        <f t="shared" si="12"/>
        <v>65948.085736952562</v>
      </c>
      <c r="H33" s="16">
        <f t="shared" si="2"/>
        <v>96072.816187286895</v>
      </c>
      <c r="I33" s="16">
        <f t="shared" si="3"/>
        <v>43189.577706572527</v>
      </c>
      <c r="J33" s="16">
        <f t="shared" si="13"/>
        <v>139262.39389385941</v>
      </c>
      <c r="K33" s="16">
        <f t="shared" si="4"/>
        <v>368251.13547312329</v>
      </c>
      <c r="M33" s="87">
        <f t="shared" si="14"/>
        <v>2041</v>
      </c>
      <c r="N33" s="87">
        <f t="shared" si="15"/>
        <v>95.976839347938949</v>
      </c>
      <c r="O33" s="16">
        <f t="shared" si="5"/>
        <v>383907.3573917558</v>
      </c>
      <c r="P33" s="16">
        <f t="shared" si="6"/>
        <v>62384.945576160317</v>
      </c>
      <c r="Q33" s="16">
        <f t="shared" si="16"/>
        <v>446292.30296791613</v>
      </c>
      <c r="R33" s="16">
        <f t="shared" si="17"/>
        <v>49092.153326470776</v>
      </c>
      <c r="S33" s="16">
        <f t="shared" si="18"/>
        <v>96072.816187286895</v>
      </c>
      <c r="T33" s="16">
        <f t="shared" si="7"/>
        <v>28793.051804381685</v>
      </c>
      <c r="U33" s="16">
        <f t="shared" si="19"/>
        <v>124865.86799166858</v>
      </c>
      <c r="V33" s="16">
        <f t="shared" si="20"/>
        <v>272334.28164977679</v>
      </c>
      <c r="X33" s="87">
        <f t="shared" si="21"/>
        <v>2041</v>
      </c>
      <c r="Y33" s="87">
        <f t="shared" si="22"/>
        <v>95.976839347938949</v>
      </c>
      <c r="Z33" s="16">
        <f t="shared" si="8"/>
        <v>575861.03608763369</v>
      </c>
      <c r="AA33" s="16">
        <f t="shared" si="9"/>
        <v>124769.89115232063</v>
      </c>
      <c r="AB33" s="16">
        <f t="shared" si="23"/>
        <v>700630.92723995436</v>
      </c>
      <c r="AC33" s="16">
        <f t="shared" si="24"/>
        <v>84075.711268794519</v>
      </c>
      <c r="AD33" s="16">
        <f t="shared" si="25"/>
        <v>96072.816187286895</v>
      </c>
      <c r="AE33" s="16">
        <f t="shared" si="10"/>
        <v>57586.103608763369</v>
      </c>
      <c r="AF33" s="16">
        <f t="shared" si="26"/>
        <v>153658.91979605026</v>
      </c>
      <c r="AG33" s="16">
        <f t="shared" si="27"/>
        <v>462896.29617510957</v>
      </c>
    </row>
    <row r="34" spans="2:33" x14ac:dyDescent="0.25">
      <c r="B34" s="15">
        <f>'Projeção Óbitos'!B35</f>
        <v>2042</v>
      </c>
      <c r="C34" s="85">
        <f>'Projeção Óbitos'!G35</f>
        <v>96.102591590128469</v>
      </c>
      <c r="D34" s="16">
        <f t="shared" si="0"/>
        <v>480512.95795064233</v>
      </c>
      <c r="E34" s="16">
        <f t="shared" si="1"/>
        <v>93700.026800375272</v>
      </c>
      <c r="F34" s="16">
        <f t="shared" si="11"/>
        <v>574212.98475101765</v>
      </c>
      <c r="G34" s="16">
        <f t="shared" si="12"/>
        <v>66034.493246367027</v>
      </c>
      <c r="H34" s="16">
        <f t="shared" si="2"/>
        <v>96198.694181718602</v>
      </c>
      <c r="I34" s="16">
        <f t="shared" si="3"/>
        <v>43246.166215557816</v>
      </c>
      <c r="J34" s="16">
        <f t="shared" si="13"/>
        <v>139444.86039727641</v>
      </c>
      <c r="K34" s="16">
        <f t="shared" si="4"/>
        <v>368733.63110737421</v>
      </c>
      <c r="M34" s="87">
        <f t="shared" si="14"/>
        <v>2042</v>
      </c>
      <c r="N34" s="87">
        <f t="shared" si="15"/>
        <v>96.102591590128469</v>
      </c>
      <c r="O34" s="16">
        <f t="shared" si="5"/>
        <v>384410.3663605139</v>
      </c>
      <c r="P34" s="16">
        <f t="shared" si="6"/>
        <v>62466.684533583502</v>
      </c>
      <c r="Q34" s="16">
        <f t="shared" si="16"/>
        <v>446877.05089409743</v>
      </c>
      <c r="R34" s="16">
        <f t="shared" si="17"/>
        <v>49156.47559835072</v>
      </c>
      <c r="S34" s="16">
        <f t="shared" si="18"/>
        <v>96198.694181718602</v>
      </c>
      <c r="T34" s="16">
        <f t="shared" si="7"/>
        <v>28830.77747703854</v>
      </c>
      <c r="U34" s="16">
        <f t="shared" si="19"/>
        <v>125029.47165875715</v>
      </c>
      <c r="V34" s="16">
        <f t="shared" si="20"/>
        <v>272691.1036369896</v>
      </c>
      <c r="X34" s="87">
        <f t="shared" si="21"/>
        <v>2042</v>
      </c>
      <c r="Y34" s="87">
        <f t="shared" si="22"/>
        <v>96.102591590128469</v>
      </c>
      <c r="Z34" s="16">
        <f t="shared" si="8"/>
        <v>576615.54954077082</v>
      </c>
      <c r="AA34" s="16">
        <f t="shared" si="9"/>
        <v>124933.369067167</v>
      </c>
      <c r="AB34" s="16">
        <f t="shared" si="23"/>
        <v>701548.91860793787</v>
      </c>
      <c r="AC34" s="16">
        <f t="shared" si="24"/>
        <v>84185.87023295254</v>
      </c>
      <c r="AD34" s="16">
        <f t="shared" si="25"/>
        <v>96198.694181718602</v>
      </c>
      <c r="AE34" s="16">
        <f t="shared" si="10"/>
        <v>57661.554954077081</v>
      </c>
      <c r="AF34" s="16">
        <f t="shared" si="26"/>
        <v>153860.24913579569</v>
      </c>
      <c r="AG34" s="16">
        <f t="shared" si="27"/>
        <v>463502.79923918966</v>
      </c>
    </row>
    <row r="35" spans="2:33" x14ac:dyDescent="0.25">
      <c r="B35" s="15">
        <f>'Projeção Óbitos'!B36</f>
        <v>2043</v>
      </c>
      <c r="C35" s="85">
        <f>'Projeção Óbitos'!G36</f>
        <v>96.204022815584608</v>
      </c>
      <c r="D35" s="16">
        <f t="shared" si="0"/>
        <v>481020.11407792306</v>
      </c>
      <c r="E35" s="16">
        <f t="shared" si="1"/>
        <v>93798.92224519499</v>
      </c>
      <c r="F35" s="16">
        <f t="shared" si="11"/>
        <v>574819.03632311802</v>
      </c>
      <c r="G35" s="16">
        <f t="shared" si="12"/>
        <v>66104.18917715858</v>
      </c>
      <c r="H35" s="16">
        <f t="shared" si="2"/>
        <v>96300.226838400195</v>
      </c>
      <c r="I35" s="16">
        <f t="shared" si="3"/>
        <v>43291.810267013076</v>
      </c>
      <c r="J35" s="16">
        <f t="shared" si="13"/>
        <v>139592.03710541327</v>
      </c>
      <c r="K35" s="16">
        <f t="shared" si="4"/>
        <v>369122.81004054617</v>
      </c>
      <c r="M35" s="87">
        <f t="shared" si="14"/>
        <v>2043</v>
      </c>
      <c r="N35" s="87">
        <f t="shared" si="15"/>
        <v>96.204022815584608</v>
      </c>
      <c r="O35" s="16">
        <f t="shared" si="5"/>
        <v>384816.09126233845</v>
      </c>
      <c r="P35" s="16">
        <f t="shared" si="6"/>
        <v>62532.614830129998</v>
      </c>
      <c r="Q35" s="16">
        <f t="shared" si="16"/>
        <v>447348.70609246846</v>
      </c>
      <c r="R35" s="16">
        <f t="shared" si="17"/>
        <v>49208.357670171528</v>
      </c>
      <c r="S35" s="16">
        <f t="shared" si="18"/>
        <v>96300.226838400195</v>
      </c>
      <c r="T35" s="16">
        <f t="shared" si="7"/>
        <v>28861.206844675384</v>
      </c>
      <c r="U35" s="16">
        <f t="shared" si="19"/>
        <v>125161.43368307558</v>
      </c>
      <c r="V35" s="16">
        <f t="shared" si="20"/>
        <v>272978.91473922133</v>
      </c>
      <c r="X35" s="87">
        <f t="shared" si="21"/>
        <v>2043</v>
      </c>
      <c r="Y35" s="87">
        <f t="shared" si="22"/>
        <v>96.204022815584608</v>
      </c>
      <c r="Z35" s="16">
        <f t="shared" si="8"/>
        <v>577224.13689350768</v>
      </c>
      <c r="AA35" s="16">
        <f t="shared" si="9"/>
        <v>125065.22966026</v>
      </c>
      <c r="AB35" s="16">
        <f t="shared" si="23"/>
        <v>702289.3665537677</v>
      </c>
      <c r="AC35" s="16">
        <f t="shared" si="24"/>
        <v>84274.723986452125</v>
      </c>
      <c r="AD35" s="16">
        <f t="shared" si="25"/>
        <v>96300.226838400195</v>
      </c>
      <c r="AE35" s="16">
        <f t="shared" si="10"/>
        <v>57722.413689350768</v>
      </c>
      <c r="AF35" s="16">
        <f t="shared" si="26"/>
        <v>154022.64052775095</v>
      </c>
      <c r="AG35" s="16">
        <f t="shared" si="27"/>
        <v>463992.00203956466</v>
      </c>
    </row>
    <row r="36" spans="2:33" x14ac:dyDescent="0.25">
      <c r="B36" s="15">
        <f>'Projeção Óbitos'!B37</f>
        <v>2044</v>
      </c>
      <c r="C36" s="85">
        <f>'Projeção Óbitos'!G37</f>
        <v>96.28126028592186</v>
      </c>
      <c r="D36" s="16">
        <f t="shared" si="0"/>
        <v>481406.3014296093</v>
      </c>
      <c r="E36" s="16">
        <f t="shared" si="1"/>
        <v>93874.228778773817</v>
      </c>
      <c r="F36" s="16">
        <f t="shared" si="11"/>
        <v>575280.5302083831</v>
      </c>
      <c r="G36" s="16">
        <f t="shared" si="12"/>
        <v>66157.260973964061</v>
      </c>
      <c r="H36" s="16">
        <f t="shared" si="2"/>
        <v>96377.54154620778</v>
      </c>
      <c r="I36" s="16">
        <f t="shared" si="3"/>
        <v>43326.567128664836</v>
      </c>
      <c r="J36" s="16">
        <f t="shared" si="13"/>
        <v>139704.10867487261</v>
      </c>
      <c r="K36" s="16">
        <f t="shared" si="4"/>
        <v>369419.16055954644</v>
      </c>
      <c r="M36" s="87">
        <f t="shared" si="14"/>
        <v>2044</v>
      </c>
      <c r="N36" s="87">
        <f t="shared" si="15"/>
        <v>96.28126028592186</v>
      </c>
      <c r="O36" s="16">
        <f t="shared" si="5"/>
        <v>385125.04114368744</v>
      </c>
      <c r="P36" s="16">
        <f t="shared" si="6"/>
        <v>62582.819185849206</v>
      </c>
      <c r="Q36" s="16">
        <f t="shared" si="16"/>
        <v>447707.86032953666</v>
      </c>
      <c r="R36" s="16">
        <f t="shared" si="17"/>
        <v>49247.864636249033</v>
      </c>
      <c r="S36" s="16">
        <f t="shared" si="18"/>
        <v>96377.54154620778</v>
      </c>
      <c r="T36" s="16">
        <f t="shared" si="7"/>
        <v>28884.37808577656</v>
      </c>
      <c r="U36" s="16">
        <f t="shared" si="19"/>
        <v>125261.91963198435</v>
      </c>
      <c r="V36" s="16">
        <f t="shared" si="20"/>
        <v>273198.07606130326</v>
      </c>
      <c r="X36" s="87">
        <f t="shared" si="21"/>
        <v>2044</v>
      </c>
      <c r="Y36" s="87">
        <f t="shared" si="22"/>
        <v>96.28126028592186</v>
      </c>
      <c r="Z36" s="16">
        <f t="shared" si="8"/>
        <v>577687.56171553116</v>
      </c>
      <c r="AA36" s="16">
        <f t="shared" si="9"/>
        <v>125165.63837169841</v>
      </c>
      <c r="AB36" s="16">
        <f t="shared" si="23"/>
        <v>702853.2000872296</v>
      </c>
      <c r="AC36" s="16">
        <f t="shared" si="24"/>
        <v>84342.384010467547</v>
      </c>
      <c r="AD36" s="16">
        <f t="shared" si="25"/>
        <v>96377.54154620778</v>
      </c>
      <c r="AE36" s="16">
        <f t="shared" si="10"/>
        <v>57768.756171553119</v>
      </c>
      <c r="AF36" s="16">
        <f t="shared" si="26"/>
        <v>154146.2977177609</v>
      </c>
      <c r="AG36" s="16">
        <f t="shared" si="27"/>
        <v>464364.51835900114</v>
      </c>
    </row>
    <row r="37" spans="2:33" x14ac:dyDescent="0.25">
      <c r="B37" s="15">
        <f>'Projeção Óbitos'!B38</f>
        <v>2045</v>
      </c>
      <c r="C37" s="85">
        <f>'Projeção Óbitos'!G38</f>
        <v>96.334408124279392</v>
      </c>
      <c r="D37" s="16">
        <f t="shared" si="0"/>
        <v>481672.04062139697</v>
      </c>
      <c r="E37" s="16">
        <f t="shared" si="1"/>
        <v>93926.047921172416</v>
      </c>
      <c r="F37" s="16">
        <f t="shared" si="11"/>
        <v>575598.08854256943</v>
      </c>
      <c r="G37" s="16">
        <f t="shared" si="12"/>
        <v>66193.780182395494</v>
      </c>
      <c r="H37" s="16">
        <f t="shared" si="2"/>
        <v>96430.742532403674</v>
      </c>
      <c r="I37" s="16">
        <f t="shared" si="3"/>
        <v>43350.483655925731</v>
      </c>
      <c r="J37" s="16">
        <f t="shared" si="13"/>
        <v>139781.2261883294</v>
      </c>
      <c r="K37" s="16">
        <f t="shared" si="4"/>
        <v>369623.08217184455</v>
      </c>
      <c r="M37" s="87">
        <f t="shared" si="14"/>
        <v>2045</v>
      </c>
      <c r="N37" s="87">
        <f t="shared" si="15"/>
        <v>96.334408124279392</v>
      </c>
      <c r="O37" s="16">
        <f t="shared" si="5"/>
        <v>385337.63249711756</v>
      </c>
      <c r="P37" s="16">
        <f t="shared" si="6"/>
        <v>62617.365280781603</v>
      </c>
      <c r="Q37" s="16">
        <f t="shared" si="16"/>
        <v>447954.99777789915</v>
      </c>
      <c r="R37" s="16">
        <f t="shared" si="17"/>
        <v>49275.049755568907</v>
      </c>
      <c r="S37" s="16">
        <f t="shared" si="18"/>
        <v>96430.742532403674</v>
      </c>
      <c r="T37" s="16">
        <f t="shared" si="7"/>
        <v>28900.322437283816</v>
      </c>
      <c r="U37" s="16">
        <f t="shared" si="19"/>
        <v>125331.06496968749</v>
      </c>
      <c r="V37" s="16">
        <f t="shared" si="20"/>
        <v>273348.88305264275</v>
      </c>
      <c r="X37" s="87">
        <f t="shared" si="21"/>
        <v>2045</v>
      </c>
      <c r="Y37" s="87">
        <f t="shared" si="22"/>
        <v>96.334408124279392</v>
      </c>
      <c r="Z37" s="16">
        <f t="shared" si="8"/>
        <v>578006.44874567632</v>
      </c>
      <c r="AA37" s="16">
        <f t="shared" si="9"/>
        <v>125234.73056156321</v>
      </c>
      <c r="AB37" s="16">
        <f t="shared" si="23"/>
        <v>703241.17930723948</v>
      </c>
      <c r="AC37" s="16">
        <f t="shared" si="24"/>
        <v>84388.941516868741</v>
      </c>
      <c r="AD37" s="16">
        <f t="shared" si="25"/>
        <v>96430.742532403674</v>
      </c>
      <c r="AE37" s="16">
        <f t="shared" si="10"/>
        <v>57800.644874567632</v>
      </c>
      <c r="AF37" s="16">
        <f t="shared" si="26"/>
        <v>154231.38740697131</v>
      </c>
      <c r="AG37" s="16">
        <f t="shared" si="27"/>
        <v>464620.8503833994</v>
      </c>
    </row>
    <row r="38" spans="2:33" x14ac:dyDescent="0.25">
      <c r="B38" s="15">
        <f>'Projeção Óbitos'!B39</f>
        <v>2046</v>
      </c>
      <c r="C38" s="85">
        <f>'Projeção Óbitos'!G39</f>
        <v>96.363592352710526</v>
      </c>
      <c r="D38" s="16">
        <f t="shared" si="0"/>
        <v>481817.96176355262</v>
      </c>
      <c r="E38" s="16">
        <f t="shared" si="1"/>
        <v>93954.50254389277</v>
      </c>
      <c r="F38" s="16">
        <f t="shared" si="11"/>
        <v>575772.46430744533</v>
      </c>
      <c r="G38" s="16">
        <f t="shared" si="12"/>
        <v>66213.833395356211</v>
      </c>
      <c r="H38" s="16">
        <f t="shared" si="2"/>
        <v>96459.955945063237</v>
      </c>
      <c r="I38" s="16">
        <f t="shared" si="3"/>
        <v>43363.616558719739</v>
      </c>
      <c r="J38" s="16">
        <f t="shared" si="13"/>
        <v>139823.57250378298</v>
      </c>
      <c r="K38" s="16">
        <f t="shared" si="4"/>
        <v>369735.05840830615</v>
      </c>
      <c r="M38" s="87">
        <f t="shared" si="14"/>
        <v>2046</v>
      </c>
      <c r="N38" s="87">
        <f t="shared" si="15"/>
        <v>96.363592352710526</v>
      </c>
      <c r="O38" s="16">
        <f t="shared" si="5"/>
        <v>385454.36941084213</v>
      </c>
      <c r="P38" s="16">
        <f t="shared" si="6"/>
        <v>62636.335029261842</v>
      </c>
      <c r="Q38" s="16">
        <f t="shared" si="16"/>
        <v>448090.70444010396</v>
      </c>
      <c r="R38" s="16">
        <f t="shared" si="17"/>
        <v>49289.977488411438</v>
      </c>
      <c r="S38" s="16">
        <f t="shared" si="18"/>
        <v>96459.955945063237</v>
      </c>
      <c r="T38" s="16">
        <f t="shared" si="7"/>
        <v>28909.077705813157</v>
      </c>
      <c r="U38" s="16">
        <f t="shared" si="19"/>
        <v>125369.0336508764</v>
      </c>
      <c r="V38" s="16">
        <f t="shared" si="20"/>
        <v>273431.69330081617</v>
      </c>
      <c r="X38" s="87">
        <f t="shared" si="21"/>
        <v>2046</v>
      </c>
      <c r="Y38" s="87">
        <f t="shared" si="22"/>
        <v>96.363592352710526</v>
      </c>
      <c r="Z38" s="16">
        <f t="shared" si="8"/>
        <v>578181.55411626317</v>
      </c>
      <c r="AA38" s="16">
        <f t="shared" si="9"/>
        <v>125272.67005852368</v>
      </c>
      <c r="AB38" s="16">
        <f t="shared" si="23"/>
        <v>703454.22417478682</v>
      </c>
      <c r="AC38" s="16">
        <f t="shared" si="24"/>
        <v>84414.506900974418</v>
      </c>
      <c r="AD38" s="16">
        <f t="shared" si="25"/>
        <v>96459.955945063237</v>
      </c>
      <c r="AE38" s="16">
        <f t="shared" si="10"/>
        <v>57818.155411626314</v>
      </c>
      <c r="AF38" s="16">
        <f t="shared" si="26"/>
        <v>154278.11135668954</v>
      </c>
      <c r="AG38" s="16">
        <f t="shared" si="27"/>
        <v>464761.60591712286</v>
      </c>
    </row>
    <row r="39" spans="2:33" x14ac:dyDescent="0.25">
      <c r="B39" s="15">
        <f>'Projeção Óbitos'!B40</f>
        <v>2047</v>
      </c>
      <c r="C39" s="85">
        <f>'Projeção Óbitos'!G40</f>
        <v>96.369134430748048</v>
      </c>
      <c r="D39" s="16">
        <f t="shared" si="0"/>
        <v>481845.67215374025</v>
      </c>
      <c r="E39" s="16">
        <f t="shared" si="1"/>
        <v>93959.906069979348</v>
      </c>
      <c r="F39" s="16">
        <f t="shared" si="11"/>
        <v>575805.57822371961</v>
      </c>
      <c r="G39" s="16">
        <f t="shared" si="12"/>
        <v>66217.641495727759</v>
      </c>
      <c r="H39" s="16">
        <f t="shared" si="2"/>
        <v>96465.503565178791</v>
      </c>
      <c r="I39" s="16">
        <f t="shared" si="3"/>
        <v>43366.110493836626</v>
      </c>
      <c r="J39" s="16">
        <f t="shared" si="13"/>
        <v>139831.61405901541</v>
      </c>
      <c r="K39" s="16">
        <f t="shared" si="4"/>
        <v>369756.32266897644</v>
      </c>
      <c r="M39" s="87">
        <f t="shared" si="14"/>
        <v>2047</v>
      </c>
      <c r="N39" s="87">
        <f t="shared" si="15"/>
        <v>96.369134430748048</v>
      </c>
      <c r="O39" s="16">
        <f t="shared" si="5"/>
        <v>385476.53772299219</v>
      </c>
      <c r="P39" s="16">
        <f t="shared" si="6"/>
        <v>62639.93737998623</v>
      </c>
      <c r="Q39" s="16">
        <f t="shared" si="16"/>
        <v>448116.47510297841</v>
      </c>
      <c r="R39" s="16">
        <f t="shared" si="17"/>
        <v>49292.812261327628</v>
      </c>
      <c r="S39" s="16">
        <f t="shared" si="18"/>
        <v>96465.503565178791</v>
      </c>
      <c r="T39" s="16">
        <f t="shared" si="7"/>
        <v>28910.740329224413</v>
      </c>
      <c r="U39" s="16">
        <f t="shared" si="19"/>
        <v>125376.2438944032</v>
      </c>
      <c r="V39" s="16">
        <f t="shared" si="20"/>
        <v>273447.41894724756</v>
      </c>
      <c r="X39" s="87">
        <f t="shared" si="21"/>
        <v>2047</v>
      </c>
      <c r="Y39" s="87">
        <f t="shared" si="22"/>
        <v>96.369134430748048</v>
      </c>
      <c r="Z39" s="16">
        <f t="shared" si="8"/>
        <v>578214.80658448825</v>
      </c>
      <c r="AA39" s="16">
        <f t="shared" si="9"/>
        <v>125279.87475997246</v>
      </c>
      <c r="AB39" s="16">
        <f t="shared" si="23"/>
        <v>703494.6813444607</v>
      </c>
      <c r="AC39" s="16">
        <f t="shared" si="24"/>
        <v>84419.361761335284</v>
      </c>
      <c r="AD39" s="16">
        <f t="shared" si="25"/>
        <v>96465.503565178791</v>
      </c>
      <c r="AE39" s="16">
        <f t="shared" si="10"/>
        <v>57821.480658448825</v>
      </c>
      <c r="AF39" s="16">
        <f t="shared" si="26"/>
        <v>154286.9842236276</v>
      </c>
      <c r="AG39" s="16">
        <f t="shared" si="27"/>
        <v>464788.33535949781</v>
      </c>
    </row>
    <row r="40" spans="2:33" x14ac:dyDescent="0.25">
      <c r="B40" s="15">
        <f>'Projeção Óbitos'!B41</f>
        <v>2048</v>
      </c>
      <c r="C40" s="85">
        <f>'Projeção Óbitos'!G41</f>
        <v>96.351289707995164</v>
      </c>
      <c r="D40" s="16">
        <f t="shared" si="0"/>
        <v>481756.4485399758</v>
      </c>
      <c r="E40" s="16">
        <f t="shared" si="1"/>
        <v>93942.507465295275</v>
      </c>
      <c r="F40" s="16">
        <f t="shared" si="11"/>
        <v>575698.95600527106</v>
      </c>
      <c r="G40" s="16">
        <f t="shared" si="12"/>
        <v>66205.379940606173</v>
      </c>
      <c r="H40" s="16">
        <f t="shared" si="2"/>
        <v>96447.640997703158</v>
      </c>
      <c r="I40" s="16">
        <f t="shared" si="3"/>
        <v>43358.080368597817</v>
      </c>
      <c r="J40" s="16">
        <f t="shared" si="13"/>
        <v>139805.72136630098</v>
      </c>
      <c r="K40" s="16">
        <f t="shared" si="4"/>
        <v>369687.85469836392</v>
      </c>
      <c r="M40" s="87">
        <f t="shared" si="14"/>
        <v>2048</v>
      </c>
      <c r="N40" s="87">
        <f t="shared" si="15"/>
        <v>96.351289707995164</v>
      </c>
      <c r="O40" s="16">
        <f t="shared" si="5"/>
        <v>385405.15883198066</v>
      </c>
      <c r="P40" s="16">
        <f t="shared" si="6"/>
        <v>62628.338310196857</v>
      </c>
      <c r="Q40" s="16">
        <f t="shared" si="16"/>
        <v>448033.49714217754</v>
      </c>
      <c r="R40" s="16">
        <f t="shared" si="17"/>
        <v>49283.684685639528</v>
      </c>
      <c r="S40" s="16">
        <f t="shared" si="18"/>
        <v>96447.640997703158</v>
      </c>
      <c r="T40" s="16">
        <f t="shared" si="7"/>
        <v>28905.38691239855</v>
      </c>
      <c r="U40" s="16">
        <f t="shared" si="19"/>
        <v>125353.02791010171</v>
      </c>
      <c r="V40" s="16">
        <f t="shared" si="20"/>
        <v>273396.78454643633</v>
      </c>
      <c r="X40" s="87">
        <f t="shared" si="21"/>
        <v>2048</v>
      </c>
      <c r="Y40" s="87">
        <f t="shared" si="22"/>
        <v>96.351289707995164</v>
      </c>
      <c r="Z40" s="16">
        <f t="shared" si="8"/>
        <v>578107.73824797093</v>
      </c>
      <c r="AA40" s="16">
        <f t="shared" si="9"/>
        <v>125256.67662039371</v>
      </c>
      <c r="AB40" s="16">
        <f t="shared" si="23"/>
        <v>703364.41486836469</v>
      </c>
      <c r="AC40" s="16">
        <f t="shared" si="24"/>
        <v>84403.729784203766</v>
      </c>
      <c r="AD40" s="16">
        <f t="shared" si="25"/>
        <v>96447.640997703158</v>
      </c>
      <c r="AE40" s="16">
        <f t="shared" si="10"/>
        <v>57810.773824797099</v>
      </c>
      <c r="AF40" s="16">
        <f t="shared" si="26"/>
        <v>154258.41482250026</v>
      </c>
      <c r="AG40" s="16">
        <f t="shared" si="27"/>
        <v>464702.27026166063</v>
      </c>
    </row>
    <row r="41" spans="2:33" x14ac:dyDescent="0.25">
      <c r="B41" s="15">
        <f>'Projeção Óbitos'!B42</f>
        <v>2049</v>
      </c>
      <c r="C41" s="85">
        <f>'Projeção Óbitos'!G42</f>
        <v>96.309963564615018</v>
      </c>
      <c r="D41" s="16">
        <f t="shared" si="0"/>
        <v>481549.81782307511</v>
      </c>
      <c r="E41" s="16">
        <f t="shared" si="1"/>
        <v>93902.214475499641</v>
      </c>
      <c r="F41" s="16">
        <f t="shared" si="11"/>
        <v>575452.03229857469</v>
      </c>
      <c r="G41" s="16">
        <f t="shared" si="12"/>
        <v>66176.983714336093</v>
      </c>
      <c r="H41" s="16">
        <f t="shared" si="2"/>
        <v>96406.273528179634</v>
      </c>
      <c r="I41" s="16">
        <f t="shared" si="3"/>
        <v>43339.483604076755</v>
      </c>
      <c r="J41" s="16">
        <f t="shared" si="13"/>
        <v>139745.7571322564</v>
      </c>
      <c r="K41" s="16">
        <f t="shared" si="4"/>
        <v>369529.29145198222</v>
      </c>
      <c r="M41" s="87">
        <f t="shared" si="14"/>
        <v>2049</v>
      </c>
      <c r="N41" s="87">
        <f t="shared" si="15"/>
        <v>96.309963564615018</v>
      </c>
      <c r="O41" s="16">
        <f t="shared" si="5"/>
        <v>385239.85425846005</v>
      </c>
      <c r="P41" s="16">
        <f t="shared" si="6"/>
        <v>62601.47631699976</v>
      </c>
      <c r="Q41" s="16">
        <f t="shared" si="16"/>
        <v>447841.33057545981</v>
      </c>
      <c r="R41" s="16">
        <f t="shared" si="17"/>
        <v>49262.546363300578</v>
      </c>
      <c r="S41" s="16">
        <f t="shared" si="18"/>
        <v>96406.273528179634</v>
      </c>
      <c r="T41" s="16">
        <f t="shared" si="7"/>
        <v>28892.989069384505</v>
      </c>
      <c r="U41" s="16">
        <f t="shared" si="19"/>
        <v>125299.26259756414</v>
      </c>
      <c r="V41" s="16">
        <f t="shared" si="20"/>
        <v>273279.52161459508</v>
      </c>
      <c r="X41" s="87">
        <f t="shared" si="21"/>
        <v>2049</v>
      </c>
      <c r="Y41" s="87">
        <f t="shared" si="22"/>
        <v>96.309963564615018</v>
      </c>
      <c r="Z41" s="16">
        <f t="shared" si="8"/>
        <v>577859.78138769011</v>
      </c>
      <c r="AA41" s="16">
        <f t="shared" si="9"/>
        <v>125202.95263399952</v>
      </c>
      <c r="AB41" s="16">
        <f t="shared" si="23"/>
        <v>703062.73402168963</v>
      </c>
      <c r="AC41" s="16">
        <f t="shared" si="24"/>
        <v>84367.528082602759</v>
      </c>
      <c r="AD41" s="16">
        <f t="shared" si="25"/>
        <v>96406.273528179634</v>
      </c>
      <c r="AE41" s="16">
        <f t="shared" si="10"/>
        <v>57785.978138769009</v>
      </c>
      <c r="AF41" s="16">
        <f t="shared" si="26"/>
        <v>154192.25166694864</v>
      </c>
      <c r="AG41" s="16">
        <f t="shared" si="27"/>
        <v>464502.95427213819</v>
      </c>
    </row>
    <row r="42" spans="2:33" x14ac:dyDescent="0.25">
      <c r="B42" s="15">
        <f>'Projeção Óbitos'!B43</f>
        <v>2050</v>
      </c>
      <c r="C42" s="85">
        <f>'Projeção Óbitos'!G43</f>
        <v>96.245015517007232</v>
      </c>
      <c r="D42" s="16">
        <f t="shared" si="0"/>
        <v>481225.07758503617</v>
      </c>
      <c r="E42" s="16">
        <f t="shared" si="1"/>
        <v>93838.89012908205</v>
      </c>
      <c r="F42" s="16">
        <f t="shared" si="11"/>
        <v>575063.96771411819</v>
      </c>
      <c r="G42" s="16">
        <f t="shared" si="12"/>
        <v>66132.356287123592</v>
      </c>
      <c r="H42" s="16">
        <f t="shared" si="2"/>
        <v>96341.260532524233</v>
      </c>
      <c r="I42" s="16">
        <f t="shared" si="3"/>
        <v>43310.256982653256</v>
      </c>
      <c r="J42" s="16">
        <f t="shared" si="13"/>
        <v>139651.51751517749</v>
      </c>
      <c r="K42" s="16">
        <f t="shared" si="4"/>
        <v>369280.09391181712</v>
      </c>
      <c r="M42" s="87">
        <f t="shared" si="14"/>
        <v>2050</v>
      </c>
      <c r="N42" s="87">
        <f t="shared" si="15"/>
        <v>96.245015517007232</v>
      </c>
      <c r="O42" s="16">
        <f t="shared" si="5"/>
        <v>384980.06206802896</v>
      </c>
      <c r="P42" s="16">
        <f t="shared" si="6"/>
        <v>62559.260086054703</v>
      </c>
      <c r="Q42" s="16">
        <f t="shared" si="16"/>
        <v>447539.32215408364</v>
      </c>
      <c r="R42" s="16">
        <f t="shared" si="17"/>
        <v>49229.325436949199</v>
      </c>
      <c r="S42" s="16">
        <f t="shared" si="18"/>
        <v>96341.260532524233</v>
      </c>
      <c r="T42" s="16">
        <f t="shared" si="7"/>
        <v>28873.50465510217</v>
      </c>
      <c r="U42" s="16">
        <f t="shared" si="19"/>
        <v>125214.7651876264</v>
      </c>
      <c r="V42" s="16">
        <f t="shared" si="20"/>
        <v>273095.23152950802</v>
      </c>
      <c r="X42" s="87">
        <f t="shared" si="21"/>
        <v>2050</v>
      </c>
      <c r="Y42" s="87">
        <f t="shared" si="22"/>
        <v>96.245015517007232</v>
      </c>
      <c r="Z42" s="16">
        <f t="shared" si="8"/>
        <v>577470.09310204338</v>
      </c>
      <c r="AA42" s="16">
        <f t="shared" si="9"/>
        <v>125118.52017210941</v>
      </c>
      <c r="AB42" s="16">
        <f t="shared" si="23"/>
        <v>702588.61327415274</v>
      </c>
      <c r="AC42" s="16">
        <f t="shared" si="24"/>
        <v>84310.633592898332</v>
      </c>
      <c r="AD42" s="16">
        <f t="shared" si="25"/>
        <v>96341.260532524233</v>
      </c>
      <c r="AE42" s="16">
        <f t="shared" si="10"/>
        <v>57747.009310204339</v>
      </c>
      <c r="AF42" s="16">
        <f t="shared" si="26"/>
        <v>154088.26984272856</v>
      </c>
      <c r="AG42" s="16">
        <f t="shared" si="27"/>
        <v>464189.7098385258</v>
      </c>
    </row>
    <row r="43" spans="2:33" x14ac:dyDescent="0.25">
      <c r="B43" s="15">
        <f>'Projeção Óbitos'!B44</f>
        <v>2051</v>
      </c>
      <c r="C43" s="85">
        <f>'Projeção Óbitos'!G44</f>
        <v>96.156549275123837</v>
      </c>
      <c r="D43" s="16">
        <f t="shared" si="0"/>
        <v>480782.7463756192</v>
      </c>
      <c r="E43" s="16">
        <f t="shared" si="1"/>
        <v>93752.635543245735</v>
      </c>
      <c r="F43" s="16">
        <f t="shared" si="11"/>
        <v>574535.38191886491</v>
      </c>
      <c r="G43" s="16">
        <f t="shared" si="12"/>
        <v>66071.568920669466</v>
      </c>
      <c r="H43" s="16">
        <f t="shared" si="2"/>
        <v>96252.70582439896</v>
      </c>
      <c r="I43" s="16">
        <f t="shared" si="3"/>
        <v>43270.447173805725</v>
      </c>
      <c r="J43" s="16">
        <f t="shared" si="13"/>
        <v>139523.15299820469</v>
      </c>
      <c r="K43" s="16">
        <f t="shared" si="4"/>
        <v>368940.65999999072</v>
      </c>
      <c r="M43" s="87">
        <f t="shared" si="14"/>
        <v>2051</v>
      </c>
      <c r="N43" s="87">
        <f t="shared" si="15"/>
        <v>96.156549275123837</v>
      </c>
      <c r="O43" s="16">
        <f t="shared" si="5"/>
        <v>384626.19710049534</v>
      </c>
      <c r="P43" s="16">
        <f t="shared" si="6"/>
        <v>62501.757028830492</v>
      </c>
      <c r="Q43" s="16">
        <f t="shared" si="16"/>
        <v>447127.95412932581</v>
      </c>
      <c r="R43" s="16">
        <f t="shared" si="17"/>
        <v>49184.074954225842</v>
      </c>
      <c r="S43" s="16">
        <f t="shared" si="18"/>
        <v>96252.70582439896</v>
      </c>
      <c r="T43" s="16">
        <f t="shared" si="7"/>
        <v>28846.96478253715</v>
      </c>
      <c r="U43" s="16">
        <f t="shared" si="19"/>
        <v>125099.67060693611</v>
      </c>
      <c r="V43" s="16">
        <f t="shared" si="20"/>
        <v>272844.20856816386</v>
      </c>
      <c r="X43" s="87">
        <f t="shared" si="21"/>
        <v>2051</v>
      </c>
      <c r="Y43" s="87">
        <f t="shared" si="22"/>
        <v>96.156549275123837</v>
      </c>
      <c r="Z43" s="16">
        <f t="shared" si="8"/>
        <v>576939.29565074306</v>
      </c>
      <c r="AA43" s="16">
        <f t="shared" si="9"/>
        <v>125003.51405766098</v>
      </c>
      <c r="AB43" s="16">
        <f t="shared" si="23"/>
        <v>701942.80970840401</v>
      </c>
      <c r="AC43" s="16">
        <f t="shared" si="24"/>
        <v>84233.137165008477</v>
      </c>
      <c r="AD43" s="16">
        <f t="shared" si="25"/>
        <v>96252.70582439896</v>
      </c>
      <c r="AE43" s="16">
        <f t="shared" si="10"/>
        <v>57693.929565074301</v>
      </c>
      <c r="AF43" s="16">
        <f t="shared" si="26"/>
        <v>153946.63538947326</v>
      </c>
      <c r="AG43" s="16">
        <f t="shared" si="27"/>
        <v>463763.03715392225</v>
      </c>
    </row>
    <row r="44" spans="2:33" x14ac:dyDescent="0.25">
      <c r="B44" s="15">
        <f>'Projeção Óbitos'!B45</f>
        <v>2052</v>
      </c>
      <c r="C44" s="85">
        <f>'Projeção Óbitos'!G45</f>
        <v>96.04486398639645</v>
      </c>
      <c r="D44" s="16">
        <f t="shared" si="0"/>
        <v>480224.31993198226</v>
      </c>
      <c r="E44" s="16">
        <f t="shared" si="1"/>
        <v>93643.742386736543</v>
      </c>
      <c r="F44" s="16">
        <f t="shared" si="11"/>
        <v>573868.06231871876</v>
      </c>
      <c r="G44" s="16">
        <f t="shared" si="12"/>
        <v>65994.827166652656</v>
      </c>
      <c r="H44" s="16">
        <f t="shared" si="2"/>
        <v>96140.908850382853</v>
      </c>
      <c r="I44" s="16">
        <f t="shared" si="3"/>
        <v>43220.188793878406</v>
      </c>
      <c r="J44" s="16">
        <f t="shared" si="13"/>
        <v>139361.09764426126</v>
      </c>
      <c r="K44" s="16">
        <f t="shared" si="4"/>
        <v>368512.13750780484</v>
      </c>
      <c r="M44" s="87">
        <f t="shared" si="14"/>
        <v>2052</v>
      </c>
      <c r="N44" s="87">
        <f t="shared" si="15"/>
        <v>96.04486398639645</v>
      </c>
      <c r="O44" s="16">
        <f t="shared" si="5"/>
        <v>384179.4559455858</v>
      </c>
      <c r="P44" s="16">
        <f t="shared" si="6"/>
        <v>62429.161591157696</v>
      </c>
      <c r="Q44" s="16">
        <f t="shared" si="16"/>
        <v>446608.61753674352</v>
      </c>
      <c r="R44" s="16">
        <f t="shared" si="17"/>
        <v>49126.947929041788</v>
      </c>
      <c r="S44" s="16">
        <f t="shared" si="18"/>
        <v>96140.908850382853</v>
      </c>
      <c r="T44" s="16">
        <f t="shared" si="7"/>
        <v>28813.459195918935</v>
      </c>
      <c r="U44" s="16">
        <f t="shared" si="19"/>
        <v>124954.3680463018</v>
      </c>
      <c r="V44" s="16">
        <f t="shared" si="20"/>
        <v>272527.30156139995</v>
      </c>
      <c r="X44" s="87">
        <f t="shared" si="21"/>
        <v>2052</v>
      </c>
      <c r="Y44" s="87">
        <f t="shared" si="22"/>
        <v>96.04486398639645</v>
      </c>
      <c r="Z44" s="16">
        <f t="shared" si="8"/>
        <v>576269.18391837867</v>
      </c>
      <c r="AA44" s="16">
        <f t="shared" si="9"/>
        <v>124858.32318231539</v>
      </c>
      <c r="AB44" s="16">
        <f t="shared" si="23"/>
        <v>701127.50710069411</v>
      </c>
      <c r="AC44" s="16">
        <f t="shared" si="24"/>
        <v>84135.300852083295</v>
      </c>
      <c r="AD44" s="16">
        <f t="shared" si="25"/>
        <v>96140.908850382853</v>
      </c>
      <c r="AE44" s="16">
        <f t="shared" si="10"/>
        <v>57626.918391837869</v>
      </c>
      <c r="AF44" s="16">
        <f t="shared" si="26"/>
        <v>153767.82724222072</v>
      </c>
      <c r="AG44" s="16">
        <f t="shared" si="27"/>
        <v>463224.37900639011</v>
      </c>
    </row>
    <row r="45" spans="2:33" x14ac:dyDescent="0.25">
      <c r="B45" s="15">
        <f>'Projeção Óbitos'!B46</f>
        <v>2053</v>
      </c>
      <c r="C45" s="85">
        <f>'Projeção Óbitos'!G46</f>
        <v>95.909991879415728</v>
      </c>
      <c r="D45" s="16">
        <f t="shared" si="0"/>
        <v>479549.95939707867</v>
      </c>
      <c r="E45" s="16">
        <f t="shared" si="1"/>
        <v>93512.242082430341</v>
      </c>
      <c r="F45" s="16">
        <f t="shared" si="11"/>
        <v>573062.20147950901</v>
      </c>
      <c r="G45" s="16">
        <f t="shared" si="12"/>
        <v>65902.153170143545</v>
      </c>
      <c r="H45" s="16">
        <f t="shared" si="2"/>
        <v>96005.901871295137</v>
      </c>
      <c r="I45" s="16">
        <f t="shared" si="3"/>
        <v>43159.496345737076</v>
      </c>
      <c r="J45" s="16">
        <f t="shared" si="13"/>
        <v>139165.3982170322</v>
      </c>
      <c r="K45" s="16">
        <f t="shared" si="4"/>
        <v>367994.65009233326</v>
      </c>
      <c r="M45" s="87">
        <f t="shared" si="14"/>
        <v>2053</v>
      </c>
      <c r="N45" s="87">
        <f t="shared" si="15"/>
        <v>95.909991879415728</v>
      </c>
      <c r="O45" s="16">
        <f t="shared" si="5"/>
        <v>383639.96751766291</v>
      </c>
      <c r="P45" s="16">
        <f t="shared" si="6"/>
        <v>62341.49472162022</v>
      </c>
      <c r="Q45" s="16">
        <f t="shared" si="16"/>
        <v>445981.46223928314</v>
      </c>
      <c r="R45" s="16">
        <f t="shared" si="17"/>
        <v>49057.960846321148</v>
      </c>
      <c r="S45" s="16">
        <f t="shared" si="18"/>
        <v>96005.901871295137</v>
      </c>
      <c r="T45" s="16">
        <f t="shared" si="7"/>
        <v>28772.99756382472</v>
      </c>
      <c r="U45" s="16">
        <f t="shared" si="19"/>
        <v>124778.89943511985</v>
      </c>
      <c r="V45" s="16">
        <f t="shared" si="20"/>
        <v>272144.60195784218</v>
      </c>
      <c r="X45" s="87">
        <f t="shared" si="21"/>
        <v>2053</v>
      </c>
      <c r="Y45" s="87">
        <f t="shared" si="22"/>
        <v>95.909991879415728</v>
      </c>
      <c r="Z45" s="16">
        <f t="shared" si="8"/>
        <v>575459.95127649442</v>
      </c>
      <c r="AA45" s="16">
        <f t="shared" si="9"/>
        <v>124682.98944324044</v>
      </c>
      <c r="AB45" s="16">
        <f t="shared" si="23"/>
        <v>700142.94071973488</v>
      </c>
      <c r="AC45" s="16">
        <f t="shared" si="24"/>
        <v>84017.152886368189</v>
      </c>
      <c r="AD45" s="16">
        <f t="shared" si="25"/>
        <v>96005.901871295137</v>
      </c>
      <c r="AE45" s="16">
        <f t="shared" si="10"/>
        <v>57545.995127649439</v>
      </c>
      <c r="AF45" s="16">
        <f t="shared" si="26"/>
        <v>153551.89699894458</v>
      </c>
      <c r="AG45" s="16">
        <f t="shared" si="27"/>
        <v>462573.89083442208</v>
      </c>
    </row>
    <row r="46" spans="2:33" x14ac:dyDescent="0.25">
      <c r="B46" s="15">
        <f>'Projeção Óbitos'!B47</f>
        <v>2054</v>
      </c>
      <c r="C46" s="85">
        <f>'Projeção Óbitos'!G47</f>
        <v>95.751817261804817</v>
      </c>
      <c r="D46" s="16">
        <f t="shared" si="0"/>
        <v>478759.08630902407</v>
      </c>
      <c r="E46" s="16">
        <f t="shared" si="1"/>
        <v>93358.021830259691</v>
      </c>
      <c r="F46" s="16">
        <f t="shared" si="11"/>
        <v>572117.10813928372</v>
      </c>
      <c r="G46" s="16">
        <f t="shared" si="12"/>
        <v>65793.467436017629</v>
      </c>
      <c r="H46" s="16">
        <f t="shared" si="2"/>
        <v>95847.569079066627</v>
      </c>
      <c r="I46" s="16">
        <f t="shared" si="3"/>
        <v>43088.317767812165</v>
      </c>
      <c r="J46" s="16">
        <f t="shared" si="13"/>
        <v>138935.8868468788</v>
      </c>
      <c r="K46" s="16">
        <f t="shared" si="4"/>
        <v>367387.75385638728</v>
      </c>
      <c r="M46" s="87">
        <f t="shared" si="14"/>
        <v>2054</v>
      </c>
      <c r="N46" s="87">
        <f t="shared" si="15"/>
        <v>95.751817261804817</v>
      </c>
      <c r="O46" s="16">
        <f t="shared" si="5"/>
        <v>383007.26904721925</v>
      </c>
      <c r="P46" s="16">
        <f t="shared" si="6"/>
        <v>62238.68122017313</v>
      </c>
      <c r="Q46" s="16">
        <f t="shared" si="16"/>
        <v>445245.95026739239</v>
      </c>
      <c r="R46" s="16">
        <f t="shared" si="17"/>
        <v>48977.054529413166</v>
      </c>
      <c r="S46" s="16">
        <f t="shared" si="18"/>
        <v>95847.569079066627</v>
      </c>
      <c r="T46" s="16">
        <f t="shared" si="7"/>
        <v>28725.545178541444</v>
      </c>
      <c r="U46" s="16">
        <f t="shared" si="19"/>
        <v>124573.11425760807</v>
      </c>
      <c r="V46" s="16">
        <f t="shared" si="20"/>
        <v>271695.78148037114</v>
      </c>
      <c r="X46" s="87">
        <f t="shared" si="21"/>
        <v>2054</v>
      </c>
      <c r="Y46" s="87">
        <f t="shared" si="22"/>
        <v>95.751817261804817</v>
      </c>
      <c r="Z46" s="16">
        <f t="shared" si="8"/>
        <v>574510.90357082896</v>
      </c>
      <c r="AA46" s="16">
        <f t="shared" si="9"/>
        <v>124477.36244034626</v>
      </c>
      <c r="AB46" s="16">
        <f t="shared" si="23"/>
        <v>698988.26601117523</v>
      </c>
      <c r="AC46" s="16">
        <f t="shared" si="24"/>
        <v>83878.591921341023</v>
      </c>
      <c r="AD46" s="16">
        <f t="shared" si="25"/>
        <v>95847.569079066627</v>
      </c>
      <c r="AE46" s="16">
        <f t="shared" si="10"/>
        <v>57451.090357082889</v>
      </c>
      <c r="AF46" s="16">
        <f t="shared" si="26"/>
        <v>153298.65943614952</v>
      </c>
      <c r="AG46" s="16">
        <f t="shared" si="27"/>
        <v>461811.01465368469</v>
      </c>
    </row>
    <row r="47" spans="2:33" x14ac:dyDescent="0.25">
      <c r="B47" s="15">
        <f>'Projeção Óbitos'!B48</f>
        <v>2055</v>
      </c>
      <c r="C47" s="85">
        <f>'Projeção Óbitos'!G48</f>
        <v>95.570300467605932</v>
      </c>
      <c r="D47" s="16">
        <f t="shared" si="0"/>
        <v>477851.50233802968</v>
      </c>
      <c r="E47" s="16">
        <f t="shared" si="1"/>
        <v>93181.042955915778</v>
      </c>
      <c r="F47" s="16">
        <f t="shared" si="11"/>
        <v>571032.54529394547</v>
      </c>
      <c r="G47" s="16">
        <f t="shared" si="12"/>
        <v>65668.742708803737</v>
      </c>
      <c r="H47" s="16">
        <f t="shared" si="2"/>
        <v>95665.870768073539</v>
      </c>
      <c r="I47" s="16">
        <f t="shared" si="3"/>
        <v>43006.635210422668</v>
      </c>
      <c r="J47" s="16">
        <f t="shared" si="13"/>
        <v>138672.50597849622</v>
      </c>
      <c r="K47" s="16">
        <f t="shared" si="4"/>
        <v>366691.29660664551</v>
      </c>
      <c r="M47" s="87">
        <f t="shared" si="14"/>
        <v>2055</v>
      </c>
      <c r="N47" s="87">
        <f t="shared" si="15"/>
        <v>95.570300467605932</v>
      </c>
      <c r="O47" s="16">
        <f t="shared" si="5"/>
        <v>382281.20187042374</v>
      </c>
      <c r="P47" s="16">
        <f t="shared" si="6"/>
        <v>62120.695303943859</v>
      </c>
      <c r="Q47" s="16">
        <f t="shared" si="16"/>
        <v>444401.89717436762</v>
      </c>
      <c r="R47" s="16">
        <f t="shared" si="17"/>
        <v>48884.208689180436</v>
      </c>
      <c r="S47" s="16">
        <f t="shared" si="18"/>
        <v>95665.870768073539</v>
      </c>
      <c r="T47" s="16">
        <f t="shared" si="7"/>
        <v>28671.09014028178</v>
      </c>
      <c r="U47" s="16">
        <f t="shared" si="19"/>
        <v>124336.96090835532</v>
      </c>
      <c r="V47" s="16">
        <f t="shared" si="20"/>
        <v>271180.72757683188</v>
      </c>
      <c r="X47" s="87">
        <f t="shared" si="21"/>
        <v>2055</v>
      </c>
      <c r="Y47" s="87">
        <f t="shared" si="22"/>
        <v>95.570300467605932</v>
      </c>
      <c r="Z47" s="16">
        <f t="shared" si="8"/>
        <v>573421.80280563561</v>
      </c>
      <c r="AA47" s="16">
        <f t="shared" si="9"/>
        <v>124241.39060788772</v>
      </c>
      <c r="AB47" s="16">
        <f t="shared" si="23"/>
        <v>697663.19341352338</v>
      </c>
      <c r="AC47" s="16">
        <f t="shared" si="24"/>
        <v>83719.583209622797</v>
      </c>
      <c r="AD47" s="16">
        <f t="shared" si="25"/>
        <v>95665.870768073539</v>
      </c>
      <c r="AE47" s="16">
        <f t="shared" si="10"/>
        <v>57342.18028056356</v>
      </c>
      <c r="AF47" s="16">
        <f t="shared" si="26"/>
        <v>153008.05104863711</v>
      </c>
      <c r="AG47" s="16">
        <f t="shared" si="27"/>
        <v>460935.55915526347</v>
      </c>
    </row>
    <row r="48" spans="2:33" x14ac:dyDescent="0.25">
      <c r="B48" s="15">
        <f>'Projeção Óbitos'!B49</f>
        <v>2056</v>
      </c>
      <c r="C48" s="85">
        <f>'Projeção Óbitos'!G49</f>
        <v>95.365731554135323</v>
      </c>
      <c r="D48" s="16">
        <f t="shared" si="0"/>
        <v>476828.6577706766</v>
      </c>
      <c r="E48" s="16">
        <f t="shared" si="1"/>
        <v>92981.588265281942</v>
      </c>
      <c r="F48" s="16">
        <f t="shared" si="11"/>
        <v>569810.24603595852</v>
      </c>
      <c r="G48" s="16">
        <f t="shared" si="12"/>
        <v>65528.178294135236</v>
      </c>
      <c r="H48" s="16">
        <f t="shared" si="2"/>
        <v>95461.097285689451</v>
      </c>
      <c r="I48" s="16">
        <f t="shared" si="3"/>
        <v>42914.579199360895</v>
      </c>
      <c r="J48" s="16">
        <f t="shared" si="13"/>
        <v>138375.67648505035</v>
      </c>
      <c r="K48" s="16">
        <f t="shared" si="4"/>
        <v>365906.39125677291</v>
      </c>
      <c r="M48" s="87">
        <f t="shared" si="14"/>
        <v>2056</v>
      </c>
      <c r="N48" s="87">
        <f t="shared" si="15"/>
        <v>95.365731554135323</v>
      </c>
      <c r="O48" s="16">
        <f t="shared" si="5"/>
        <v>381462.92621654127</v>
      </c>
      <c r="P48" s="16">
        <f t="shared" si="6"/>
        <v>61987.725510187956</v>
      </c>
      <c r="Q48" s="16">
        <f t="shared" si="16"/>
        <v>443450.65172672924</v>
      </c>
      <c r="R48" s="16">
        <f t="shared" si="17"/>
        <v>48779.571689940218</v>
      </c>
      <c r="S48" s="16">
        <f t="shared" si="18"/>
        <v>95461.097285689451</v>
      </c>
      <c r="T48" s="16">
        <f t="shared" si="7"/>
        <v>28609.719466240596</v>
      </c>
      <c r="U48" s="16">
        <f t="shared" si="19"/>
        <v>124070.81675193005</v>
      </c>
      <c r="V48" s="16">
        <f t="shared" si="20"/>
        <v>270600.26328485896</v>
      </c>
      <c r="X48" s="87">
        <f t="shared" si="21"/>
        <v>2056</v>
      </c>
      <c r="Y48" s="87">
        <f t="shared" si="22"/>
        <v>95.365731554135323</v>
      </c>
      <c r="Z48" s="16">
        <f t="shared" si="8"/>
        <v>572194.38932481199</v>
      </c>
      <c r="AA48" s="16">
        <f t="shared" si="9"/>
        <v>123975.45102037591</v>
      </c>
      <c r="AB48" s="16">
        <f t="shared" si="23"/>
        <v>696169.84034518793</v>
      </c>
      <c r="AC48" s="16">
        <f t="shared" si="24"/>
        <v>83540.38084142255</v>
      </c>
      <c r="AD48" s="16">
        <f t="shared" si="25"/>
        <v>95461.097285689451</v>
      </c>
      <c r="AE48" s="16">
        <f t="shared" si="10"/>
        <v>57219.438932481193</v>
      </c>
      <c r="AF48" s="16">
        <f t="shared" si="26"/>
        <v>152680.53621817066</v>
      </c>
      <c r="AG48" s="16">
        <f t="shared" si="27"/>
        <v>459948.92328559468</v>
      </c>
    </row>
    <row r="49" spans="2:33" x14ac:dyDescent="0.25">
      <c r="B49" s="15">
        <f>'Projeção Óbitos'!B50</f>
        <v>2057</v>
      </c>
      <c r="C49" s="85">
        <f>'Projeção Óbitos'!G50</f>
        <v>95.138669563485308</v>
      </c>
      <c r="D49" s="16">
        <f t="shared" si="0"/>
        <v>475693.34781742655</v>
      </c>
      <c r="E49" s="16">
        <f t="shared" si="1"/>
        <v>92760.202824398162</v>
      </c>
      <c r="F49" s="16">
        <f t="shared" si="11"/>
        <v>568453.55064182472</v>
      </c>
      <c r="G49" s="16">
        <f t="shared" si="12"/>
        <v>65372.158323809846</v>
      </c>
      <c r="H49" s="16">
        <f t="shared" si="2"/>
        <v>95233.808233048796</v>
      </c>
      <c r="I49" s="16">
        <f t="shared" si="3"/>
        <v>42812.401303568382</v>
      </c>
      <c r="J49" s="16">
        <f t="shared" si="13"/>
        <v>138046.20953661719</v>
      </c>
      <c r="K49" s="16">
        <f t="shared" si="4"/>
        <v>365035.18278139771</v>
      </c>
      <c r="M49" s="87">
        <f t="shared" si="14"/>
        <v>2057</v>
      </c>
      <c r="N49" s="87">
        <f t="shared" si="15"/>
        <v>95.138669563485308</v>
      </c>
      <c r="O49" s="16">
        <f t="shared" si="5"/>
        <v>380554.67825394124</v>
      </c>
      <c r="P49" s="16">
        <f t="shared" si="6"/>
        <v>61840.135216265451</v>
      </c>
      <c r="Q49" s="16">
        <f t="shared" si="16"/>
        <v>442394.81347020669</v>
      </c>
      <c r="R49" s="16">
        <f t="shared" si="17"/>
        <v>48663.429481722735</v>
      </c>
      <c r="S49" s="16">
        <f t="shared" si="18"/>
        <v>95233.808233048796</v>
      </c>
      <c r="T49" s="16">
        <f t="shared" si="7"/>
        <v>28541.600869045593</v>
      </c>
      <c r="U49" s="16">
        <f t="shared" si="19"/>
        <v>123775.40910209439</v>
      </c>
      <c r="V49" s="16">
        <f t="shared" si="20"/>
        <v>269955.97488638957</v>
      </c>
      <c r="X49" s="87">
        <f t="shared" si="21"/>
        <v>2057</v>
      </c>
      <c r="Y49" s="87">
        <f t="shared" si="22"/>
        <v>95.138669563485308</v>
      </c>
      <c r="Z49" s="16">
        <f t="shared" si="8"/>
        <v>570832.01738091186</v>
      </c>
      <c r="AA49" s="16">
        <f t="shared" si="9"/>
        <v>123680.2704325309</v>
      </c>
      <c r="AB49" s="16">
        <f t="shared" si="23"/>
        <v>694512.28781344276</v>
      </c>
      <c r="AC49" s="16">
        <f t="shared" si="24"/>
        <v>83341.474537613132</v>
      </c>
      <c r="AD49" s="16">
        <f t="shared" si="25"/>
        <v>95233.808233048796</v>
      </c>
      <c r="AE49" s="16">
        <f t="shared" si="10"/>
        <v>57083.201738091186</v>
      </c>
      <c r="AF49" s="16">
        <f t="shared" si="26"/>
        <v>152317.00997113998</v>
      </c>
      <c r="AG49" s="16">
        <f t="shared" si="27"/>
        <v>458853.8033046897</v>
      </c>
    </row>
    <row r="50" spans="2:33" x14ac:dyDescent="0.25">
      <c r="B50" s="15">
        <f>'Projeção Óbitos'!B51</f>
        <v>2058</v>
      </c>
      <c r="C50" s="85">
        <f>'Projeção Óbitos'!G51</f>
        <v>94.889352904589629</v>
      </c>
      <c r="D50" s="16">
        <f t="shared" si="0"/>
        <v>474446.76452294813</v>
      </c>
      <c r="E50" s="16">
        <f t="shared" si="1"/>
        <v>92517.119081974903</v>
      </c>
      <c r="F50" s="16">
        <f t="shared" si="11"/>
        <v>566963.88360492303</v>
      </c>
      <c r="G50" s="16">
        <f t="shared" si="12"/>
        <v>65200.846614566151</v>
      </c>
      <c r="H50" s="16">
        <f t="shared" si="2"/>
        <v>94984.242257494217</v>
      </c>
      <c r="I50" s="16">
        <f t="shared" si="3"/>
        <v>42700.208807065341</v>
      </c>
      <c r="J50" s="16">
        <f t="shared" si="13"/>
        <v>137684.45106455957</v>
      </c>
      <c r="K50" s="16">
        <f t="shared" si="4"/>
        <v>364078.58592579729</v>
      </c>
      <c r="M50" s="87">
        <f t="shared" si="14"/>
        <v>2058</v>
      </c>
      <c r="N50" s="87">
        <f t="shared" si="15"/>
        <v>94.889352904589629</v>
      </c>
      <c r="O50" s="16">
        <f t="shared" si="5"/>
        <v>379557.41161835851</v>
      </c>
      <c r="P50" s="16">
        <f t="shared" si="6"/>
        <v>61678.079387983256</v>
      </c>
      <c r="Q50" s="16">
        <f t="shared" si="16"/>
        <v>441235.49100634176</v>
      </c>
      <c r="R50" s="16">
        <f t="shared" si="17"/>
        <v>48535.904010697595</v>
      </c>
      <c r="S50" s="16">
        <f t="shared" si="18"/>
        <v>94984.242257494217</v>
      </c>
      <c r="T50" s="16">
        <f t="shared" si="7"/>
        <v>28466.805871376888</v>
      </c>
      <c r="U50" s="16">
        <f t="shared" si="19"/>
        <v>123451.0481288711</v>
      </c>
      <c r="V50" s="16">
        <f t="shared" si="20"/>
        <v>269248.53886677301</v>
      </c>
      <c r="X50" s="87">
        <f t="shared" si="21"/>
        <v>2058</v>
      </c>
      <c r="Y50" s="87">
        <f t="shared" si="22"/>
        <v>94.889352904589629</v>
      </c>
      <c r="Z50" s="16">
        <f t="shared" si="8"/>
        <v>569336.1174275378</v>
      </c>
      <c r="AA50" s="16">
        <f t="shared" si="9"/>
        <v>123356.15877596651</v>
      </c>
      <c r="AB50" s="16">
        <f t="shared" si="23"/>
        <v>692692.2762035043</v>
      </c>
      <c r="AC50" s="16">
        <f t="shared" si="24"/>
        <v>83123.073144420516</v>
      </c>
      <c r="AD50" s="16">
        <f t="shared" si="25"/>
        <v>94984.242257494217</v>
      </c>
      <c r="AE50" s="16">
        <f t="shared" si="10"/>
        <v>56933.611742753776</v>
      </c>
      <c r="AF50" s="16">
        <f t="shared" si="26"/>
        <v>151917.85400024799</v>
      </c>
      <c r="AG50" s="16">
        <f t="shared" si="27"/>
        <v>457651.34905883577</v>
      </c>
    </row>
    <row r="51" spans="2:33" x14ac:dyDescent="0.25">
      <c r="B51" s="15">
        <f>'Projeção Óbitos'!B52</f>
        <v>2059</v>
      </c>
      <c r="C51" s="85">
        <f>'Projeção Óbitos'!G52</f>
        <v>94.617994368784238</v>
      </c>
      <c r="D51" s="16">
        <f t="shared" si="0"/>
        <v>473089.97184392117</v>
      </c>
      <c r="E51" s="16">
        <f t="shared" si="1"/>
        <v>92252.544509564628</v>
      </c>
      <c r="F51" s="16">
        <f t="shared" si="11"/>
        <v>565342.51635348576</v>
      </c>
      <c r="G51" s="16">
        <f t="shared" si="12"/>
        <v>65014.389380650864</v>
      </c>
      <c r="H51" s="16">
        <f t="shared" si="2"/>
        <v>94712.612363153021</v>
      </c>
      <c r="I51" s="16">
        <f t="shared" si="3"/>
        <v>42578.097465952902</v>
      </c>
      <c r="J51" s="16">
        <f t="shared" si="13"/>
        <v>137290.70982910594</v>
      </c>
      <c r="K51" s="16">
        <f t="shared" si="4"/>
        <v>363037.41714372893</v>
      </c>
      <c r="M51" s="87">
        <f t="shared" si="14"/>
        <v>2059</v>
      </c>
      <c r="N51" s="87">
        <f t="shared" si="15"/>
        <v>94.617994368784238</v>
      </c>
      <c r="O51" s="16">
        <f t="shared" si="5"/>
        <v>378471.97747513693</v>
      </c>
      <c r="P51" s="16">
        <f t="shared" si="6"/>
        <v>61501.696339709757</v>
      </c>
      <c r="Q51" s="16">
        <f t="shared" si="16"/>
        <v>439973.67381484667</v>
      </c>
      <c r="R51" s="16">
        <f t="shared" si="17"/>
        <v>48397.104119633135</v>
      </c>
      <c r="S51" s="16">
        <f t="shared" si="18"/>
        <v>94712.612363153021</v>
      </c>
      <c r="T51" s="16">
        <f t="shared" si="7"/>
        <v>28385.398310635272</v>
      </c>
      <c r="U51" s="16">
        <f t="shared" si="19"/>
        <v>123098.01067378829</v>
      </c>
      <c r="V51" s="16">
        <f t="shared" si="20"/>
        <v>268478.55902142526</v>
      </c>
      <c r="X51" s="87">
        <f t="shared" si="21"/>
        <v>2059</v>
      </c>
      <c r="Y51" s="87">
        <f t="shared" si="22"/>
        <v>94.617994368784238</v>
      </c>
      <c r="Z51" s="16">
        <f t="shared" si="8"/>
        <v>567707.96621270548</v>
      </c>
      <c r="AA51" s="16">
        <f t="shared" si="9"/>
        <v>123003.39267941951</v>
      </c>
      <c r="AB51" s="16">
        <f t="shared" si="23"/>
        <v>690711.35889212496</v>
      </c>
      <c r="AC51" s="16">
        <f t="shared" si="24"/>
        <v>82885.36306705499</v>
      </c>
      <c r="AD51" s="16">
        <f t="shared" si="25"/>
        <v>94712.612363153021</v>
      </c>
      <c r="AE51" s="16">
        <f t="shared" si="10"/>
        <v>56770.796621270543</v>
      </c>
      <c r="AF51" s="16">
        <f t="shared" si="26"/>
        <v>151483.40898442356</v>
      </c>
      <c r="AG51" s="16">
        <f t="shared" si="27"/>
        <v>456342.5868406464</v>
      </c>
    </row>
    <row r="52" spans="2:33" x14ac:dyDescent="0.25">
      <c r="B52" s="15">
        <f>'Projeção Óbitos'!B53</f>
        <v>2060</v>
      </c>
      <c r="C52" s="85">
        <f>'Projeção Óbitos'!G53</f>
        <v>94.324964584862045</v>
      </c>
      <c r="D52" s="16">
        <f t="shared" si="0"/>
        <v>471624.82292431023</v>
      </c>
      <c r="E52" s="16">
        <f t="shared" si="1"/>
        <v>91966.84047024048</v>
      </c>
      <c r="F52" s="16">
        <f t="shared" si="11"/>
        <v>563591.66339455068</v>
      </c>
      <c r="G52" s="16">
        <f t="shared" si="12"/>
        <v>64813.04129037333</v>
      </c>
      <c r="H52" s="16">
        <f t="shared" si="2"/>
        <v>94419.289549446912</v>
      </c>
      <c r="I52" s="16">
        <f t="shared" si="3"/>
        <v>42446.234063187912</v>
      </c>
      <c r="J52" s="16">
        <f t="shared" si="13"/>
        <v>136865.52361263483</v>
      </c>
      <c r="K52" s="16">
        <f t="shared" si="4"/>
        <v>361913.09849154251</v>
      </c>
      <c r="M52" s="87">
        <f t="shared" si="14"/>
        <v>2060</v>
      </c>
      <c r="N52" s="87">
        <f t="shared" si="15"/>
        <v>94.324964584862045</v>
      </c>
      <c r="O52" s="16">
        <f t="shared" si="5"/>
        <v>377299.85833944817</v>
      </c>
      <c r="P52" s="16">
        <f t="shared" si="6"/>
        <v>61311.226980160332</v>
      </c>
      <c r="Q52" s="16">
        <f t="shared" si="16"/>
        <v>438611.08531960851</v>
      </c>
      <c r="R52" s="16">
        <f t="shared" si="17"/>
        <v>48247.219385156939</v>
      </c>
      <c r="S52" s="16">
        <f t="shared" si="18"/>
        <v>94419.289549446912</v>
      </c>
      <c r="T52" s="16">
        <f t="shared" si="7"/>
        <v>28297.489375458612</v>
      </c>
      <c r="U52" s="16">
        <f t="shared" si="19"/>
        <v>122716.77892490552</v>
      </c>
      <c r="V52" s="16">
        <f t="shared" si="20"/>
        <v>267647.08700954606</v>
      </c>
      <c r="X52" s="87">
        <f t="shared" si="21"/>
        <v>2060</v>
      </c>
      <c r="Y52" s="87">
        <f t="shared" si="22"/>
        <v>94.324964584862045</v>
      </c>
      <c r="Z52" s="16">
        <f t="shared" si="8"/>
        <v>565949.78750917222</v>
      </c>
      <c r="AA52" s="16">
        <f t="shared" si="9"/>
        <v>122622.45396032066</v>
      </c>
      <c r="AB52" s="16">
        <f t="shared" si="23"/>
        <v>688572.2414694929</v>
      </c>
      <c r="AC52" s="16">
        <f t="shared" si="24"/>
        <v>82628.668976339148</v>
      </c>
      <c r="AD52" s="16">
        <f t="shared" si="25"/>
        <v>94419.289549446912</v>
      </c>
      <c r="AE52" s="16">
        <f t="shared" si="10"/>
        <v>56594.978750917224</v>
      </c>
      <c r="AF52" s="16">
        <f t="shared" si="26"/>
        <v>151014.26830036414</v>
      </c>
      <c r="AG52" s="16">
        <f t="shared" si="27"/>
        <v>454929.3041927896</v>
      </c>
    </row>
  </sheetData>
  <mergeCells count="44">
    <mergeCell ref="J2:P2"/>
    <mergeCell ref="V14:V15"/>
    <mergeCell ref="X14:X15"/>
    <mergeCell ref="Y14:Y15"/>
    <mergeCell ref="M4:N4"/>
    <mergeCell ref="M5:N5"/>
    <mergeCell ref="J6:N6"/>
    <mergeCell ref="J7:L7"/>
    <mergeCell ref="J5:L5"/>
    <mergeCell ref="J8:L8"/>
    <mergeCell ref="M14:M15"/>
    <mergeCell ref="N14:N15"/>
    <mergeCell ref="AG14:AG15"/>
    <mergeCell ref="G9:H11"/>
    <mergeCell ref="B14:B15"/>
    <mergeCell ref="C14:C15"/>
    <mergeCell ref="G14:G15"/>
    <mergeCell ref="K14:K15"/>
    <mergeCell ref="O14:Q14"/>
    <mergeCell ref="S14:U14"/>
    <mergeCell ref="R14:R15"/>
    <mergeCell ref="D14:F14"/>
    <mergeCell ref="H14:J14"/>
    <mergeCell ref="D13:K13"/>
    <mergeCell ref="O13:V13"/>
    <mergeCell ref="Z14:AB14"/>
    <mergeCell ref="AD14:AF14"/>
    <mergeCell ref="AC14:AC15"/>
    <mergeCell ref="B2:H2"/>
    <mergeCell ref="D9:E9"/>
    <mergeCell ref="D10:E10"/>
    <mergeCell ref="D11:E11"/>
    <mergeCell ref="Z13:AG13"/>
    <mergeCell ref="N7:N9"/>
    <mergeCell ref="B5:D5"/>
    <mergeCell ref="B8:D8"/>
    <mergeCell ref="B6:D6"/>
    <mergeCell ref="B7:D7"/>
    <mergeCell ref="B9:C11"/>
    <mergeCell ref="B4:E4"/>
    <mergeCell ref="J9:L9"/>
    <mergeCell ref="G6:H6"/>
    <mergeCell ref="G7:H7"/>
    <mergeCell ref="J4:L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E6580-28C8-4831-83A3-FD6765676BA2}">
  <dimension ref="C2:E18"/>
  <sheetViews>
    <sheetView showGridLines="0" workbookViewId="0">
      <selection activeCell="G15" sqref="G15"/>
    </sheetView>
  </sheetViews>
  <sheetFormatPr defaultRowHeight="13.8" x14ac:dyDescent="0.25"/>
  <cols>
    <col min="1" max="2" width="8.88671875" style="1"/>
    <col min="3" max="3" width="38.109375" style="1" bestFit="1" customWidth="1"/>
    <col min="4" max="4" width="17" style="1" customWidth="1"/>
    <col min="5" max="16384" width="8.88671875" style="1"/>
  </cols>
  <sheetData>
    <row r="2" spans="3:5" ht="21" x14ac:dyDescent="0.25">
      <c r="C2" s="141" t="s">
        <v>46</v>
      </c>
      <c r="D2" s="141"/>
      <c r="E2" s="141"/>
    </row>
    <row r="3" spans="3:5" x14ac:dyDescent="0.25">
      <c r="C3" s="52"/>
      <c r="D3" s="52"/>
      <c r="E3" s="52"/>
    </row>
    <row r="4" spans="3:5" x14ac:dyDescent="0.25">
      <c r="C4" s="51" t="s">
        <v>60</v>
      </c>
      <c r="D4" s="15" t="s">
        <v>47</v>
      </c>
    </row>
    <row r="5" spans="3:5" x14ac:dyDescent="0.25">
      <c r="C5" s="46" t="s">
        <v>363</v>
      </c>
      <c r="D5" s="43">
        <v>800</v>
      </c>
    </row>
    <row r="6" spans="3:5" x14ac:dyDescent="0.25">
      <c r="C6" s="46" t="s">
        <v>48</v>
      </c>
      <c r="D6" s="43">
        <v>120</v>
      </c>
    </row>
    <row r="7" spans="3:5" x14ac:dyDescent="0.25">
      <c r="C7" s="46" t="s">
        <v>58</v>
      </c>
      <c r="D7" s="43">
        <v>50</v>
      </c>
    </row>
    <row r="8" spans="3:5" x14ac:dyDescent="0.25">
      <c r="C8" s="140" t="s">
        <v>49</v>
      </c>
      <c r="D8" s="140"/>
    </row>
    <row r="9" spans="3:5" x14ac:dyDescent="0.25">
      <c r="C9" s="46" t="s">
        <v>365</v>
      </c>
      <c r="D9" s="16">
        <f>D17/D16*D15</f>
        <v>14</v>
      </c>
    </row>
    <row r="10" spans="3:5" x14ac:dyDescent="0.25">
      <c r="C10" s="46" t="s">
        <v>50</v>
      </c>
      <c r="D10" s="16">
        <f>D9*D18</f>
        <v>7</v>
      </c>
    </row>
    <row r="11" spans="3:5" x14ac:dyDescent="0.25">
      <c r="C11" s="46" t="s">
        <v>51</v>
      </c>
      <c r="D11" s="43">
        <v>10</v>
      </c>
    </row>
    <row r="13" spans="3:5" x14ac:dyDescent="0.25">
      <c r="C13" s="53" t="s">
        <v>364</v>
      </c>
      <c r="D13" s="54">
        <f>D5+D6+D7+D9+D10+D11</f>
        <v>1001</v>
      </c>
    </row>
    <row r="15" spans="3:5" x14ac:dyDescent="0.25">
      <c r="C15" s="14" t="s">
        <v>52</v>
      </c>
      <c r="D15" s="43">
        <v>7</v>
      </c>
      <c r="E15" s="1" t="s">
        <v>53</v>
      </c>
    </row>
    <row r="16" spans="3:5" x14ac:dyDescent="0.25">
      <c r="C16" s="14" t="s">
        <v>54</v>
      </c>
      <c r="D16" s="48">
        <v>10</v>
      </c>
      <c r="E16" s="1" t="s">
        <v>55</v>
      </c>
    </row>
    <row r="17" spans="3:5" x14ac:dyDescent="0.25">
      <c r="C17" s="14" t="s">
        <v>56</v>
      </c>
      <c r="D17" s="48">
        <v>20</v>
      </c>
      <c r="E17" s="1" t="s">
        <v>57</v>
      </c>
    </row>
    <row r="18" spans="3:5" x14ac:dyDescent="0.25">
      <c r="C18" s="14" t="s">
        <v>59</v>
      </c>
      <c r="D18" s="47">
        <v>0.5</v>
      </c>
    </row>
  </sheetData>
  <mergeCells count="2">
    <mergeCell ref="C8:D8"/>
    <mergeCell ref="C2:E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AEEE9-5033-435D-8348-97EF8B768086}">
  <dimension ref="B2:J43"/>
  <sheetViews>
    <sheetView showGridLines="0" workbookViewId="0">
      <selection activeCell="J18" sqref="J18"/>
    </sheetView>
  </sheetViews>
  <sheetFormatPr defaultRowHeight="13.8" x14ac:dyDescent="0.25"/>
  <cols>
    <col min="1" max="2" width="8.88671875" style="1"/>
    <col min="3" max="3" width="24.5546875" style="1" customWidth="1"/>
    <col min="4" max="4" width="9" style="1" bestFit="1" customWidth="1"/>
    <col min="5" max="5" width="11.88671875" style="1" bestFit="1" customWidth="1"/>
    <col min="6" max="6" width="17" style="1" bestFit="1" customWidth="1"/>
    <col min="7" max="7" width="18.33203125" style="1" bestFit="1" customWidth="1"/>
    <col min="8" max="8" width="8.88671875" style="1"/>
    <col min="9" max="9" width="23.77734375" style="1" bestFit="1" customWidth="1"/>
    <col min="10" max="10" width="15.6640625" style="1" bestFit="1" customWidth="1"/>
    <col min="11" max="16384" width="8.88671875" style="1"/>
  </cols>
  <sheetData>
    <row r="2" spans="2:10" ht="21" x14ac:dyDescent="0.4">
      <c r="B2" s="143" t="s">
        <v>19</v>
      </c>
      <c r="C2" s="143"/>
      <c r="D2" s="143"/>
      <c r="E2" s="143"/>
      <c r="F2" s="143"/>
      <c r="G2" s="143"/>
    </row>
    <row r="3" spans="2:10" ht="21" x14ac:dyDescent="0.4">
      <c r="B3" s="50"/>
      <c r="C3" s="50"/>
      <c r="D3" s="50"/>
      <c r="E3" s="50"/>
      <c r="F3" s="50"/>
      <c r="G3" s="50"/>
    </row>
    <row r="4" spans="2:10" x14ac:dyDescent="0.25">
      <c r="F4" s="14" t="s">
        <v>33</v>
      </c>
      <c r="G4" s="14" t="s">
        <v>34</v>
      </c>
    </row>
    <row r="5" spans="2:10" ht="15.6" x14ac:dyDescent="0.3">
      <c r="B5" s="142" t="s">
        <v>20</v>
      </c>
      <c r="C5" s="142"/>
      <c r="D5" s="142"/>
      <c r="E5" s="142"/>
      <c r="F5" s="43">
        <f>(4500+1900)/2</f>
        <v>3200</v>
      </c>
      <c r="G5" s="44">
        <f>F5*12</f>
        <v>38400</v>
      </c>
    </row>
    <row r="6" spans="2:10" x14ac:dyDescent="0.25">
      <c r="B6" s="29"/>
      <c r="C6" s="29"/>
      <c r="D6" s="29"/>
      <c r="E6" s="29"/>
    </row>
    <row r="7" spans="2:10" ht="15.6" x14ac:dyDescent="0.3">
      <c r="B7" s="145" t="s">
        <v>21</v>
      </c>
      <c r="C7" s="145"/>
      <c r="D7" s="145"/>
      <c r="E7" s="145"/>
      <c r="F7" s="145"/>
      <c r="G7" s="145"/>
      <c r="I7" s="88" t="s">
        <v>368</v>
      </c>
      <c r="J7" s="88" t="s">
        <v>369</v>
      </c>
    </row>
    <row r="8" spans="2:10" ht="15" x14ac:dyDescent="0.25">
      <c r="B8" s="147" t="s">
        <v>29</v>
      </c>
      <c r="C8" s="147"/>
      <c r="D8" s="147"/>
      <c r="E8" s="147"/>
      <c r="F8" s="147"/>
      <c r="G8" s="10"/>
      <c r="I8" s="99" t="s">
        <v>372</v>
      </c>
      <c r="J8" s="96">
        <v>50400</v>
      </c>
    </row>
    <row r="9" spans="2:10" ht="15" x14ac:dyDescent="0.25">
      <c r="B9" s="136" t="s">
        <v>22</v>
      </c>
      <c r="C9" s="136"/>
      <c r="D9" s="136"/>
      <c r="E9" s="136"/>
      <c r="F9" s="136"/>
      <c r="G9" s="10"/>
      <c r="I9" s="99" t="s">
        <v>29</v>
      </c>
      <c r="J9" s="96">
        <f>(F12+F17)*(1+F29)*12</f>
        <v>91917.385042559996</v>
      </c>
    </row>
    <row r="10" spans="2:10" ht="15" x14ac:dyDescent="0.25">
      <c r="B10" s="10"/>
      <c r="C10" s="154" t="s">
        <v>24</v>
      </c>
      <c r="D10" s="155"/>
      <c r="E10" s="17">
        <v>1819.6</v>
      </c>
      <c r="F10" s="100"/>
      <c r="G10" s="10"/>
      <c r="I10" s="99" t="s">
        <v>30</v>
      </c>
      <c r="J10" s="96">
        <f>(F21+F24+F27)*(1+F29)*12</f>
        <v>123424.728</v>
      </c>
    </row>
    <row r="11" spans="2:10" ht="15" x14ac:dyDescent="0.25">
      <c r="B11" s="10"/>
      <c r="C11" s="73" t="s">
        <v>23</v>
      </c>
      <c r="D11" s="101">
        <v>0.3</v>
      </c>
      <c r="E11" s="17">
        <f>E10*D11</f>
        <v>545.88</v>
      </c>
      <c r="F11" s="100"/>
      <c r="G11" s="10"/>
      <c r="I11" s="99" t="s">
        <v>35</v>
      </c>
      <c r="J11" s="96">
        <f>G33</f>
        <v>8000</v>
      </c>
    </row>
    <row r="12" spans="2:10" ht="15" x14ac:dyDescent="0.25">
      <c r="B12" s="10"/>
      <c r="C12" s="73" t="s">
        <v>371</v>
      </c>
      <c r="D12" s="101">
        <f>0.3*0.3333</f>
        <v>9.9989999999999996E-2</v>
      </c>
      <c r="E12" s="17">
        <f>E10*D12</f>
        <v>181.94180399999999</v>
      </c>
      <c r="F12" s="17">
        <f>SUM(E10:E12)</f>
        <v>2547.4218040000001</v>
      </c>
      <c r="G12" s="10"/>
      <c r="I12" s="99" t="s">
        <v>13</v>
      </c>
      <c r="J12" s="96">
        <f>G41</f>
        <v>23800</v>
      </c>
    </row>
    <row r="13" spans="2:10" ht="15.6" x14ac:dyDescent="0.3">
      <c r="B13" s="10"/>
      <c r="C13" s="148" t="s">
        <v>370</v>
      </c>
      <c r="D13" s="149"/>
      <c r="E13" s="150"/>
      <c r="F13" s="17">
        <f>F12*12*(1+$F$29)</f>
        <v>42796.686307199998</v>
      </c>
      <c r="G13" s="10"/>
      <c r="I13" s="97" t="s">
        <v>70</v>
      </c>
      <c r="J13" s="98">
        <f>SUM(J8:J12)</f>
        <v>297542.11304256</v>
      </c>
    </row>
    <row r="14" spans="2:10" x14ac:dyDescent="0.25">
      <c r="B14" s="136" t="s">
        <v>28</v>
      </c>
      <c r="C14" s="136"/>
      <c r="D14" s="136"/>
      <c r="E14" s="136"/>
      <c r="F14" s="136"/>
      <c r="G14" s="10"/>
    </row>
    <row r="15" spans="2:10" x14ac:dyDescent="0.25">
      <c r="B15" s="10"/>
      <c r="C15" s="102" t="s">
        <v>24</v>
      </c>
      <c r="D15" s="102"/>
      <c r="E15" s="17">
        <v>2088.48</v>
      </c>
      <c r="F15" s="100"/>
      <c r="G15" s="10"/>
    </row>
    <row r="16" spans="2:10" x14ac:dyDescent="0.25">
      <c r="B16" s="10"/>
      <c r="C16" s="73" t="s">
        <v>23</v>
      </c>
      <c r="D16" s="101">
        <v>0.3</v>
      </c>
      <c r="E16" s="17">
        <f>E15*D16</f>
        <v>626.54399999999998</v>
      </c>
      <c r="F16" s="100"/>
      <c r="G16" s="10"/>
    </row>
    <row r="17" spans="2:7" x14ac:dyDescent="0.25">
      <c r="B17" s="10"/>
      <c r="C17" s="73" t="s">
        <v>371</v>
      </c>
      <c r="D17" s="101">
        <f>0.3*0.3333</f>
        <v>9.9989999999999996E-2</v>
      </c>
      <c r="E17" s="17">
        <f>E15*D17</f>
        <v>208.82711519999998</v>
      </c>
      <c r="F17" s="17">
        <f>SUM(E15:E17)</f>
        <v>2923.8511152000001</v>
      </c>
      <c r="G17" s="10"/>
    </row>
    <row r="18" spans="2:7" x14ac:dyDescent="0.25">
      <c r="B18" s="10"/>
      <c r="C18" s="148" t="s">
        <v>370</v>
      </c>
      <c r="D18" s="149"/>
      <c r="E18" s="150"/>
      <c r="F18" s="17">
        <f>F17*12*(1+$F$29)</f>
        <v>49120.698735360005</v>
      </c>
      <c r="G18" s="10"/>
    </row>
    <row r="19" spans="2:7" x14ac:dyDescent="0.25">
      <c r="B19" s="146" t="s">
        <v>30</v>
      </c>
      <c r="C19" s="146"/>
      <c r="D19" s="146"/>
      <c r="E19" s="146"/>
      <c r="F19" s="146"/>
      <c r="G19" s="10"/>
    </row>
    <row r="20" spans="2:7" x14ac:dyDescent="0.25">
      <c r="B20" s="136" t="s">
        <v>27</v>
      </c>
      <c r="C20" s="136"/>
      <c r="D20" s="136"/>
      <c r="E20" s="136"/>
      <c r="F20" s="136"/>
      <c r="G20" s="10"/>
    </row>
    <row r="21" spans="2:7" x14ac:dyDescent="0.25">
      <c r="B21" s="10"/>
      <c r="C21" s="136" t="s">
        <v>24</v>
      </c>
      <c r="D21" s="136"/>
      <c r="E21" s="136"/>
      <c r="F21" s="17">
        <v>3507.92</v>
      </c>
      <c r="G21" s="10"/>
    </row>
    <row r="22" spans="2:7" x14ac:dyDescent="0.25">
      <c r="B22" s="10"/>
      <c r="C22" s="148" t="s">
        <v>370</v>
      </c>
      <c r="D22" s="149"/>
      <c r="E22" s="150"/>
      <c r="F22" s="17">
        <f>F21*12*(1+$F$29)</f>
        <v>58933.055999999997</v>
      </c>
      <c r="G22" s="10"/>
    </row>
    <row r="23" spans="2:7" x14ac:dyDescent="0.25">
      <c r="B23" s="136" t="s">
        <v>25</v>
      </c>
      <c r="C23" s="136"/>
      <c r="D23" s="136"/>
      <c r="E23" s="136"/>
      <c r="F23" s="136"/>
      <c r="G23" s="10"/>
    </row>
    <row r="24" spans="2:7" x14ac:dyDescent="0.25">
      <c r="B24" s="10"/>
      <c r="C24" s="136" t="s">
        <v>24</v>
      </c>
      <c r="D24" s="136"/>
      <c r="E24" s="136"/>
      <c r="F24" s="17">
        <v>2272.13</v>
      </c>
      <c r="G24" s="10"/>
    </row>
    <row r="25" spans="2:7" x14ac:dyDescent="0.25">
      <c r="B25" s="10"/>
      <c r="C25" s="148" t="s">
        <v>370</v>
      </c>
      <c r="D25" s="149"/>
      <c r="E25" s="150"/>
      <c r="F25" s="17">
        <f>F24*12*(1+$F$29)</f>
        <v>38171.784</v>
      </c>
      <c r="G25" s="10"/>
    </row>
    <row r="26" spans="2:7" x14ac:dyDescent="0.25">
      <c r="B26" s="136" t="s">
        <v>26</v>
      </c>
      <c r="C26" s="136"/>
      <c r="D26" s="136"/>
      <c r="E26" s="136"/>
      <c r="F26" s="136"/>
      <c r="G26" s="10"/>
    </row>
    <row r="27" spans="2:7" x14ac:dyDescent="0.25">
      <c r="B27" s="103"/>
      <c r="C27" s="136" t="s">
        <v>24</v>
      </c>
      <c r="D27" s="136"/>
      <c r="E27" s="136"/>
      <c r="F27" s="17">
        <v>1566.66</v>
      </c>
      <c r="G27" s="10"/>
    </row>
    <row r="28" spans="2:7" x14ac:dyDescent="0.25">
      <c r="B28" s="10"/>
      <c r="C28" s="148" t="s">
        <v>370</v>
      </c>
      <c r="D28" s="149"/>
      <c r="E28" s="150"/>
      <c r="F28" s="17">
        <f>F27*12*(1+$F$29)</f>
        <v>26319.888000000003</v>
      </c>
      <c r="G28" s="10"/>
    </row>
    <row r="29" spans="2:7" x14ac:dyDescent="0.25">
      <c r="B29" s="136" t="s">
        <v>32</v>
      </c>
      <c r="C29" s="136"/>
      <c r="D29" s="136"/>
      <c r="E29" s="136"/>
      <c r="F29" s="101">
        <v>0.4</v>
      </c>
      <c r="G29" s="10"/>
    </row>
    <row r="30" spans="2:7" x14ac:dyDescent="0.25">
      <c r="B30" s="151" t="s">
        <v>31</v>
      </c>
      <c r="C30" s="152"/>
      <c r="D30" s="152"/>
      <c r="E30" s="152"/>
      <c r="F30" s="153"/>
      <c r="G30" s="104">
        <f>F13+F18+F22+F25+F28</f>
        <v>215342.11304255997</v>
      </c>
    </row>
    <row r="32" spans="2:7" x14ac:dyDescent="0.25">
      <c r="B32" s="144" t="s">
        <v>35</v>
      </c>
      <c r="C32" s="144"/>
      <c r="D32" s="144"/>
      <c r="E32" s="144"/>
      <c r="F32" s="144"/>
      <c r="G32" s="144"/>
    </row>
    <row r="33" spans="2:8" x14ac:dyDescent="0.25">
      <c r="B33" s="157" t="s">
        <v>40</v>
      </c>
      <c r="C33" s="158"/>
      <c r="D33" s="158"/>
      <c r="E33" s="158"/>
      <c r="F33" s="159"/>
      <c r="G33" s="44">
        <v>8000</v>
      </c>
    </row>
    <row r="34" spans="2:8" x14ac:dyDescent="0.25">
      <c r="B34" s="12"/>
    </row>
    <row r="35" spans="2:8" x14ac:dyDescent="0.25">
      <c r="B35" s="144" t="s">
        <v>36</v>
      </c>
      <c r="C35" s="144"/>
      <c r="D35" s="144"/>
      <c r="E35" s="144"/>
      <c r="F35" s="144"/>
      <c r="G35" s="144"/>
    </row>
    <row r="36" spans="2:8" x14ac:dyDescent="0.25">
      <c r="B36" s="113" t="s">
        <v>37</v>
      </c>
      <c r="C36" s="113"/>
      <c r="D36" s="113"/>
      <c r="E36" s="43">
        <v>600</v>
      </c>
      <c r="F36" s="16">
        <f>E36*12</f>
        <v>7200</v>
      </c>
    </row>
    <row r="37" spans="2:8" x14ac:dyDescent="0.25">
      <c r="B37" s="113" t="s">
        <v>41</v>
      </c>
      <c r="C37" s="113"/>
      <c r="D37" s="113"/>
      <c r="E37" s="43">
        <v>400</v>
      </c>
      <c r="F37" s="16">
        <f>E37*12</f>
        <v>4800</v>
      </c>
      <c r="G37" s="44">
        <f>F36+F37</f>
        <v>12000</v>
      </c>
    </row>
    <row r="39" spans="2:8" x14ac:dyDescent="0.25">
      <c r="B39" s="144" t="s">
        <v>13</v>
      </c>
      <c r="C39" s="144"/>
      <c r="D39" s="144"/>
      <c r="E39" s="144"/>
      <c r="F39" s="144"/>
      <c r="G39" s="144"/>
    </row>
    <row r="40" spans="2:8" x14ac:dyDescent="0.25">
      <c r="B40" s="113" t="s">
        <v>38</v>
      </c>
      <c r="C40" s="113"/>
      <c r="D40" s="113"/>
      <c r="E40" s="113"/>
      <c r="F40" s="48">
        <v>34</v>
      </c>
    </row>
    <row r="41" spans="2:8" x14ac:dyDescent="0.25">
      <c r="B41" s="113" t="s">
        <v>39</v>
      </c>
      <c r="C41" s="113"/>
      <c r="D41" s="113"/>
      <c r="E41" s="113"/>
      <c r="F41" s="43">
        <v>700</v>
      </c>
      <c r="G41" s="44">
        <f>F40*F41</f>
        <v>23800</v>
      </c>
      <c r="H41" s="45"/>
    </row>
    <row r="43" spans="2:8" ht="17.399999999999999" x14ac:dyDescent="0.3">
      <c r="B43" s="156" t="s">
        <v>45</v>
      </c>
      <c r="C43" s="156"/>
      <c r="D43" s="156"/>
      <c r="E43" s="156"/>
      <c r="F43" s="156"/>
      <c r="G43" s="49">
        <f>G5+G30+G33+G37+G41</f>
        <v>297542.11304255994</v>
      </c>
    </row>
  </sheetData>
  <mergeCells count="30">
    <mergeCell ref="B43:F43"/>
    <mergeCell ref="C21:E21"/>
    <mergeCell ref="C24:E24"/>
    <mergeCell ref="C27:E27"/>
    <mergeCell ref="B20:F20"/>
    <mergeCell ref="B23:F23"/>
    <mergeCell ref="B26:F26"/>
    <mergeCell ref="B33:F33"/>
    <mergeCell ref="B35:G35"/>
    <mergeCell ref="B39:G39"/>
    <mergeCell ref="B41:E41"/>
    <mergeCell ref="B40:E40"/>
    <mergeCell ref="B37:D37"/>
    <mergeCell ref="B36:D36"/>
    <mergeCell ref="B29:E29"/>
    <mergeCell ref="B5:E5"/>
    <mergeCell ref="B2:G2"/>
    <mergeCell ref="B32:G32"/>
    <mergeCell ref="B7:G7"/>
    <mergeCell ref="B19:F19"/>
    <mergeCell ref="B9:F9"/>
    <mergeCell ref="B14:F14"/>
    <mergeCell ref="B8:F8"/>
    <mergeCell ref="C25:E25"/>
    <mergeCell ref="C28:E28"/>
    <mergeCell ref="B30:F30"/>
    <mergeCell ref="C10:D10"/>
    <mergeCell ref="C13:E13"/>
    <mergeCell ref="C18:E18"/>
    <mergeCell ref="C22:E2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6AB59-D135-4071-B0BE-4C9E6CED2464}">
  <dimension ref="B2:C10"/>
  <sheetViews>
    <sheetView showGridLines="0" workbookViewId="0">
      <selection activeCell="G11" sqref="G11"/>
    </sheetView>
  </sheetViews>
  <sheetFormatPr defaultRowHeight="13.8" x14ac:dyDescent="0.25"/>
  <cols>
    <col min="1" max="1" width="8.88671875" style="1"/>
    <col min="2" max="2" width="37.88671875" style="1" bestFit="1" customWidth="1"/>
    <col min="3" max="3" width="14.21875" style="1" bestFit="1" customWidth="1"/>
    <col min="4" max="16384" width="8.88671875" style="1"/>
  </cols>
  <sheetData>
    <row r="2" spans="2:3" ht="21" x14ac:dyDescent="0.4">
      <c r="B2" s="160" t="s">
        <v>84</v>
      </c>
      <c r="C2" s="160"/>
    </row>
    <row r="3" spans="2:3" x14ac:dyDescent="0.25">
      <c r="B3" s="57"/>
      <c r="C3" s="57"/>
    </row>
    <row r="4" spans="2:3" x14ac:dyDescent="0.25">
      <c r="B4" s="18" t="s">
        <v>82</v>
      </c>
      <c r="C4" s="18" t="s">
        <v>83</v>
      </c>
    </row>
    <row r="5" spans="2:3" x14ac:dyDescent="0.25">
      <c r="B5" s="55" t="s">
        <v>78</v>
      </c>
      <c r="C5" s="56">
        <v>20000</v>
      </c>
    </row>
    <row r="6" spans="2:3" x14ac:dyDescent="0.25">
      <c r="B6" s="19" t="s">
        <v>79</v>
      </c>
      <c r="C6" s="22">
        <v>7000</v>
      </c>
    </row>
    <row r="7" spans="2:3" x14ac:dyDescent="0.25">
      <c r="B7" s="19" t="s">
        <v>80</v>
      </c>
      <c r="C7" s="22">
        <v>14000</v>
      </c>
    </row>
    <row r="8" spans="2:3" x14ac:dyDescent="0.25">
      <c r="B8" s="19" t="s">
        <v>35</v>
      </c>
      <c r="C8" s="22">
        <v>131000</v>
      </c>
    </row>
    <row r="9" spans="2:3" x14ac:dyDescent="0.25">
      <c r="B9" s="19" t="s">
        <v>81</v>
      </c>
      <c r="C9" s="22">
        <v>53000</v>
      </c>
    </row>
    <row r="10" spans="2:3" x14ac:dyDescent="0.25">
      <c r="B10" s="20" t="s">
        <v>70</v>
      </c>
      <c r="C10" s="21">
        <f>SUM(C5:C9)</f>
        <v>225000</v>
      </c>
    </row>
  </sheetData>
  <mergeCells count="1">
    <mergeCell ref="B2:C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92266-CA5C-46E6-A65E-CE8B4A3EEC59}">
  <dimension ref="A2:O43"/>
  <sheetViews>
    <sheetView showGridLines="0" workbookViewId="0">
      <selection activeCell="O7" sqref="O7"/>
    </sheetView>
  </sheetViews>
  <sheetFormatPr defaultRowHeight="13.8" x14ac:dyDescent="0.25"/>
  <cols>
    <col min="1" max="1" width="8.88671875" style="1"/>
    <col min="2" max="2" width="14.109375" style="1" customWidth="1"/>
    <col min="3" max="3" width="17.6640625" style="1" bestFit="1" customWidth="1"/>
    <col min="4" max="4" width="22.44140625" style="1" bestFit="1" customWidth="1"/>
    <col min="5" max="5" width="14.88671875" style="1" bestFit="1" customWidth="1"/>
    <col min="6" max="6" width="14.88671875" style="1" customWidth="1"/>
    <col min="7" max="7" width="22.44140625" style="1" bestFit="1" customWidth="1"/>
    <col min="8" max="8" width="8.88671875" style="1"/>
    <col min="9" max="9" width="23.44140625" style="1" bestFit="1" customWidth="1"/>
    <col min="10" max="10" width="22.6640625" style="1" customWidth="1"/>
    <col min="11" max="11" width="16.44140625" style="1" bestFit="1" customWidth="1"/>
    <col min="12" max="12" width="16" style="1" bestFit="1" customWidth="1"/>
    <col min="13" max="13" width="7.77734375" style="1" bestFit="1" customWidth="1"/>
    <col min="14" max="14" width="10.33203125" style="1" bestFit="1" customWidth="1"/>
    <col min="15" max="15" width="54.5546875" style="1" bestFit="1" customWidth="1"/>
    <col min="16" max="16384" width="8.88671875" style="1"/>
  </cols>
  <sheetData>
    <row r="2" spans="1:15" ht="20.399999999999999" x14ac:dyDescent="0.35">
      <c r="B2" s="164" t="s">
        <v>355</v>
      </c>
      <c r="C2" s="164"/>
      <c r="D2" s="164"/>
      <c r="E2" s="164"/>
      <c r="F2" s="164"/>
      <c r="G2" s="164"/>
    </row>
    <row r="3" spans="1:15" x14ac:dyDescent="0.25">
      <c r="L3" s="162" t="s">
        <v>354</v>
      </c>
    </row>
    <row r="4" spans="1:15" ht="17.399999999999999" x14ac:dyDescent="0.3">
      <c r="C4" s="163" t="s">
        <v>349</v>
      </c>
      <c r="D4" s="163"/>
      <c r="E4" s="163"/>
      <c r="F4" s="163"/>
      <c r="G4" s="163"/>
      <c r="L4" s="162"/>
    </row>
    <row r="5" spans="1:15" s="2" customFormat="1" ht="17.399999999999999" x14ac:dyDescent="0.3">
      <c r="B5" s="31" t="str">
        <f>'Projeção Óbitos'!B3</f>
        <v>Ano</v>
      </c>
      <c r="C5" s="32" t="s">
        <v>75</v>
      </c>
      <c r="D5" s="32" t="s">
        <v>353</v>
      </c>
      <c r="E5" s="32" t="s">
        <v>76</v>
      </c>
      <c r="F5" s="32" t="s">
        <v>77</v>
      </c>
      <c r="G5" s="32" t="s">
        <v>353</v>
      </c>
      <c r="J5" s="161" t="s">
        <v>86</v>
      </c>
      <c r="K5" s="161"/>
      <c r="L5" s="41">
        <v>0.1467</v>
      </c>
      <c r="M5" s="1"/>
      <c r="N5" s="1"/>
    </row>
    <row r="6" spans="1:15" ht="27.6" x14ac:dyDescent="0.25">
      <c r="B6" s="33" t="s">
        <v>85</v>
      </c>
      <c r="C6" s="34">
        <f>'Investimento Inicial'!C10*-1</f>
        <v>-225000</v>
      </c>
      <c r="D6" s="38">
        <f>SUM(D7:D14)</f>
        <v>240698.52912314562</v>
      </c>
      <c r="E6" s="34">
        <f>C6</f>
        <v>-225000</v>
      </c>
      <c r="F6" s="34">
        <f>C6</f>
        <v>-225000</v>
      </c>
      <c r="G6" s="39">
        <f>SUM(G7:G8)</f>
        <v>224491.35370738246</v>
      </c>
      <c r="J6" s="1" t="s">
        <v>87</v>
      </c>
      <c r="M6" s="28">
        <f>SELIC!E2</f>
        <v>9.4954545454545458E-2</v>
      </c>
    </row>
    <row r="7" spans="1:15" ht="14.4" x14ac:dyDescent="0.3">
      <c r="A7" s="36">
        <v>1</v>
      </c>
      <c r="B7" s="15">
        <f>'Projeção Óbitos'!B17</f>
        <v>2024</v>
      </c>
      <c r="C7" s="16">
        <f>'Receita e Margem de Contribuiçã'!K16-'Custos Fixos'!$G$43</f>
        <v>47563.317795511393</v>
      </c>
      <c r="D7" s="37">
        <f t="shared" ref="D7:D43" si="0">C7/(1+$L$5)^$A7</f>
        <v>41478.43184399703</v>
      </c>
      <c r="E7" s="16">
        <f>'Receita e Margem de Contribuiçã'!V16-'Custos Fixos'!$G$43</f>
        <v>-42324.869842552755</v>
      </c>
      <c r="F7" s="16">
        <f>'Receita e Margem de Contribuiçã'!AG16-'Custos Fixos'!$G$43</f>
        <v>136259.74209528486</v>
      </c>
      <c r="G7" s="40">
        <f t="shared" ref="G7:G43" si="1">F7/(1+$L$5)^$A7</f>
        <v>118827.7161378607</v>
      </c>
      <c r="J7" s="1" t="s">
        <v>88</v>
      </c>
      <c r="M7" s="23">
        <v>0.1167</v>
      </c>
      <c r="N7" s="30" t="s">
        <v>89</v>
      </c>
      <c r="O7" s="95" t="s">
        <v>90</v>
      </c>
    </row>
    <row r="8" spans="1:15" x14ac:dyDescent="0.25">
      <c r="A8" s="36">
        <v>2</v>
      </c>
      <c r="B8" s="15">
        <f>'Projeção Óbitos'!B18</f>
        <v>2025</v>
      </c>
      <c r="C8" s="16">
        <f>'Receita e Margem de Contribuiçã'!K17-'Custos Fixos'!$G$43</f>
        <v>49695.024653730856</v>
      </c>
      <c r="D8" s="37">
        <f t="shared" si="0"/>
        <v>37793.166898223702</v>
      </c>
      <c r="E8" s="16">
        <f>'Receita e Margem de Contribuiçã'!V17-'Custos Fixos'!$G$43</f>
        <v>-40748.39987410247</v>
      </c>
      <c r="F8" s="16">
        <f>'Receita e Margem de Contribuiçã'!AG17-'Custos Fixos'!$G$43</f>
        <v>138939.32435355301</v>
      </c>
      <c r="G8" s="40">
        <f t="shared" si="1"/>
        <v>105663.63756952176</v>
      </c>
    </row>
    <row r="9" spans="1:15" x14ac:dyDescent="0.25">
      <c r="A9" s="36">
        <v>3</v>
      </c>
      <c r="B9" s="15">
        <f>'Projeção Óbitos'!B19</f>
        <v>2026</v>
      </c>
      <c r="C9" s="16">
        <f>'Receita e Margem de Contribuiçã'!K18-'Custos Fixos'!$G$43</f>
        <v>51736.059169836401</v>
      </c>
      <c r="D9" s="37">
        <f t="shared" si="0"/>
        <v>34311.832023633156</v>
      </c>
      <c r="E9" s="16">
        <f>'Receita e Margem de Contribuiçã'!V18-'Custos Fixos'!$G$43</f>
        <v>-39238.985196936876</v>
      </c>
      <c r="F9" s="16">
        <f>'Receita e Margem de Contribuiçã'!AG18-'Custos Fixos'!$G$43</f>
        <v>141504.93034050253</v>
      </c>
      <c r="G9" s="37">
        <f t="shared" si="1"/>
        <v>93847.376051982093</v>
      </c>
    </row>
    <row r="10" spans="1:15" ht="15.6" x14ac:dyDescent="0.3">
      <c r="A10" s="36">
        <v>4</v>
      </c>
      <c r="B10" s="15">
        <f>'Projeção Óbitos'!B20</f>
        <v>2027</v>
      </c>
      <c r="C10" s="16">
        <f>'Receita e Margem de Contribuiçã'!K19-'Custos Fixos'!$G$43</f>
        <v>53683.981494639127</v>
      </c>
      <c r="D10" s="37">
        <f t="shared" si="0"/>
        <v>31048.846333795354</v>
      </c>
      <c r="E10" s="16">
        <f>'Receita e Margem de Contribuiçã'!V19-'Custos Fixos'!$G$43</f>
        <v>-37798.430162793869</v>
      </c>
      <c r="F10" s="16">
        <f>'Receita e Margem de Contribuiçã'!AG19-'Custos Fixos'!$G$43</f>
        <v>143953.49313510058</v>
      </c>
      <c r="G10" s="16">
        <f t="shared" si="1"/>
        <v>83257.421732237475</v>
      </c>
      <c r="I10" s="165" t="s">
        <v>366</v>
      </c>
      <c r="J10" s="145" t="s">
        <v>349</v>
      </c>
      <c r="K10" s="145"/>
      <c r="L10" s="145"/>
    </row>
    <row r="11" spans="1:15" ht="15.6" x14ac:dyDescent="0.3">
      <c r="A11" s="36">
        <v>5</v>
      </c>
      <c r="B11" s="15">
        <f>'Projeção Óbitos'!B21</f>
        <v>2028</v>
      </c>
      <c r="C11" s="16">
        <f>'Receita e Margem de Contribuiçã'!K20-'Custos Fixos'!$G$43</f>
        <v>55536.356534991297</v>
      </c>
      <c r="D11" s="37">
        <f t="shared" si="0"/>
        <v>28010.981190842791</v>
      </c>
      <c r="E11" s="16">
        <f>'Receita e Margem de Contribuiçã'!V20-'Custos Fixos'!$G$43</f>
        <v>-36428.535606156132</v>
      </c>
      <c r="F11" s="16">
        <f>'Receita e Margem de Contribuiçã'!AG20-'Custos Fixos'!$G$43</f>
        <v>146281.95179471769</v>
      </c>
      <c r="G11" s="16">
        <f t="shared" si="1"/>
        <v>73780.515250400582</v>
      </c>
      <c r="I11" s="166"/>
      <c r="J11" s="89" t="s">
        <v>75</v>
      </c>
      <c r="K11" s="89" t="s">
        <v>76</v>
      </c>
      <c r="L11" s="89" t="s">
        <v>77</v>
      </c>
    </row>
    <row r="12" spans="1:15" ht="15.6" x14ac:dyDescent="0.3">
      <c r="A12" s="36">
        <v>6</v>
      </c>
      <c r="B12" s="15">
        <f>'Projeção Óbitos'!B22</f>
        <v>2029</v>
      </c>
      <c r="C12" s="16">
        <f>'Receita e Margem de Contribuiçã'!K21-'Custos Fixos'!$G$43</f>
        <v>57292.344056929112</v>
      </c>
      <c r="D12" s="37">
        <f t="shared" si="0"/>
        <v>25199.836108095489</v>
      </c>
      <c r="E12" s="16">
        <f>'Receita e Margem de Contribuiçã'!V21-'Custos Fixos'!$G$43</f>
        <v>-35129.922908713983</v>
      </c>
      <c r="F12" s="16">
        <f>'Receita e Margem de Contribuiçã'!AG21-'Custos Fixos'!$G$43</f>
        <v>148489.25013472245</v>
      </c>
      <c r="G12" s="16">
        <f t="shared" si="1"/>
        <v>65312.474621230722</v>
      </c>
      <c r="I12" s="88" t="s">
        <v>350</v>
      </c>
      <c r="J12" s="90">
        <f>NPV($L$5,C7:C32)+C6</f>
        <v>155377.15170747892</v>
      </c>
      <c r="K12" s="90">
        <f>NPV($L$5,E7:E32)+E6</f>
        <v>-456946.74136820104</v>
      </c>
      <c r="L12" s="90">
        <f>NPV($L$5,F7:F32)+F6</f>
        <v>759582.67922143091</v>
      </c>
    </row>
    <row r="13" spans="1:15" ht="15.6" x14ac:dyDescent="0.3">
      <c r="A13" s="36">
        <v>7</v>
      </c>
      <c r="B13" s="15">
        <f>'Projeção Óbitos'!B23</f>
        <v>2030</v>
      </c>
      <c r="C13" s="16">
        <f>'Receita e Margem de Contribuiçã'!K22-'Custos Fixos'!$G$43</f>
        <v>58952.451371525065</v>
      </c>
      <c r="D13" s="37">
        <f t="shared" si="0"/>
        <v>22612.739577835895</v>
      </c>
      <c r="E13" s="16">
        <f>'Receita e Margem de Contribuiçã'!V22-'Custos Fixos'!$G$43</f>
        <v>-33902.216896616563</v>
      </c>
      <c r="F13" s="16">
        <f>'Receita e Margem de Contribuiçã'!AG22-'Custos Fixos'!$G$43</f>
        <v>150576.02585149644</v>
      </c>
      <c r="G13" s="16">
        <f t="shared" si="1"/>
        <v>57757.334598133617</v>
      </c>
      <c r="I13" s="88" t="s">
        <v>351</v>
      </c>
      <c r="J13" s="91">
        <f>IRR(C6:C32)</f>
        <v>0.24221463381496577</v>
      </c>
      <c r="K13" s="92" t="s">
        <v>367</v>
      </c>
      <c r="L13" s="91">
        <f t="shared" ref="L13" si="2">IRR(F6:F32)</f>
        <v>0.62335807024749124</v>
      </c>
    </row>
    <row r="14" spans="1:15" ht="15.6" x14ac:dyDescent="0.3">
      <c r="A14" s="36">
        <v>8</v>
      </c>
      <c r="B14" s="15">
        <f>'Projeção Óbitos'!B24</f>
        <v>2031</v>
      </c>
      <c r="C14" s="16">
        <f>'Receita e Margem de Contribuiçã'!K23-'Custos Fixos'!$G$43</f>
        <v>60515.529102130909</v>
      </c>
      <c r="D14" s="37">
        <f t="shared" si="0"/>
        <v>20242.69514672225</v>
      </c>
      <c r="E14" s="16">
        <f>'Receita e Margem de Contribuiçã'!V23-'Custos Fixos'!$G$43</f>
        <v>-32746.267573119199</v>
      </c>
      <c r="F14" s="16">
        <f>'Receita e Margem de Contribuiçã'!AG23-'Custos Fixos'!$G$43</f>
        <v>152540.83416417579</v>
      </c>
      <c r="G14" s="16">
        <f t="shared" si="1"/>
        <v>51025.540869036115</v>
      </c>
      <c r="I14" s="88" t="s">
        <v>352</v>
      </c>
      <c r="J14" s="93" t="s">
        <v>358</v>
      </c>
      <c r="K14" s="94" t="s">
        <v>367</v>
      </c>
      <c r="L14" s="93" t="s">
        <v>359</v>
      </c>
    </row>
    <row r="15" spans="1:15" x14ac:dyDescent="0.25">
      <c r="A15" s="36">
        <v>9</v>
      </c>
      <c r="B15" s="15">
        <f>'Projeção Óbitos'!B25</f>
        <v>2032</v>
      </c>
      <c r="C15" s="16">
        <f>'Receita e Margem de Contribuiçã'!K24-'Custos Fixos'!$G$43</f>
        <v>61979.41800599423</v>
      </c>
      <c r="D15" s="17">
        <f t="shared" si="0"/>
        <v>18080.031436866975</v>
      </c>
      <c r="E15" s="16">
        <f>'Receita e Margem de Contribuiçã'!V24-'Custos Fixos'!$G$43</f>
        <v>-31663.671771923662</v>
      </c>
      <c r="F15" s="16">
        <f>'Receita e Margem de Contribuiçã'!AG24-'Custos Fixos'!$G$43</f>
        <v>154380.96087753831</v>
      </c>
      <c r="G15" s="16">
        <f t="shared" si="1"/>
        <v>45034.50848231063</v>
      </c>
    </row>
    <row r="16" spans="1:15" x14ac:dyDescent="0.25">
      <c r="A16" s="36">
        <v>10</v>
      </c>
      <c r="B16" s="15">
        <f>'Projeção Óbitos'!B26</f>
        <v>2033</v>
      </c>
      <c r="C16" s="16">
        <f>'Receita e Margem de Contribuiçã'!K25-'Custos Fixos'!$G$43</f>
        <v>63344.05149853701</v>
      </c>
      <c r="D16" s="16">
        <f t="shared" si="0"/>
        <v>16114.161517636841</v>
      </c>
      <c r="E16" s="16">
        <f>'Receita e Margem de Contribuiçã'!V25-'Custos Fixos'!$G$43</f>
        <v>-30654.47873459768</v>
      </c>
      <c r="F16" s="16">
        <f>'Receita e Margem de Contribuiçã'!AG25-'Custos Fixos'!$G$43</f>
        <v>156096.32229393412</v>
      </c>
      <c r="G16" s="16">
        <f t="shared" si="1"/>
        <v>39709.511631279944</v>
      </c>
    </row>
    <row r="17" spans="1:7" x14ac:dyDescent="0.25">
      <c r="A17" s="36">
        <v>11</v>
      </c>
      <c r="B17" s="15">
        <f>'Projeção Óbitos'!B27</f>
        <v>2034</v>
      </c>
      <c r="C17" s="16">
        <f>'Receita e Margem de Contribuiçã'!K26-'Custos Fixos'!$G$43</f>
        <v>64610.016158186889</v>
      </c>
      <c r="D17" s="16">
        <f t="shared" si="0"/>
        <v>14333.48882144956</v>
      </c>
      <c r="E17" s="16">
        <f>'Receita e Margem de Contribuiçã'!V26-'Custos Fixos'!$G$43</f>
        <v>-29718.254666376451</v>
      </c>
      <c r="F17" s="16">
        <f>'Receita e Margem de Contribuiçã'!AG26-'Custos Fixos'!$G$43</f>
        <v>157687.65574980422</v>
      </c>
      <c r="G17" s="16">
        <f t="shared" si="1"/>
        <v>34982.41271812479</v>
      </c>
    </row>
    <row r="18" spans="1:7" x14ac:dyDescent="0.25">
      <c r="A18" s="36">
        <v>12</v>
      </c>
      <c r="B18" s="15">
        <f>'Projeção Óbitos'!B28</f>
        <v>2035</v>
      </c>
      <c r="C18" s="16">
        <f>'Receita e Margem de Contribuiçã'!K27-'Custos Fixos'!$G$43</f>
        <v>65777.724175189855</v>
      </c>
      <c r="D18" s="16">
        <f t="shared" si="0"/>
        <v>12725.682784061137</v>
      </c>
      <c r="E18" s="16">
        <f>'Receita e Margem de Contribuiçã'!V27-'Custos Fixos'!$G$43</f>
        <v>-28854.694738506456</v>
      </c>
      <c r="F18" s="16">
        <f>'Receita e Margem de Contribuiçã'!AG27-'Custos Fixos'!$G$43</f>
        <v>159155.47937345773</v>
      </c>
      <c r="G18" s="16">
        <f t="shared" si="1"/>
        <v>30791.00363000606</v>
      </c>
    </row>
    <row r="19" spans="1:7" x14ac:dyDescent="0.25">
      <c r="A19" s="36">
        <v>13</v>
      </c>
      <c r="B19" s="15">
        <f>'Projeção Óbitos'!B29</f>
        <v>2036</v>
      </c>
      <c r="C19" s="16">
        <f>'Receita e Margem de Contribuiçã'!K28-'Custos Fixos'!$G$43</f>
        <v>66846.481167515856</v>
      </c>
      <c r="D19" s="16">
        <f t="shared" si="0"/>
        <v>11277.971379139226</v>
      </c>
      <c r="E19" s="16">
        <f>'Receita e Margem de Contribuiçã'!V28-'Custos Fixos'!$G$43</f>
        <v>-28064.312470195757</v>
      </c>
      <c r="F19" s="16">
        <f>'Receita e Margem de Contribuiçã'!AG28-'Custos Fixos'!$G$43</f>
        <v>160498.92031797313</v>
      </c>
      <c r="G19" s="16">
        <f t="shared" si="1"/>
        <v>27078.496850010255</v>
      </c>
    </row>
    <row r="20" spans="1:7" x14ac:dyDescent="0.25">
      <c r="A20" s="36">
        <v>14</v>
      </c>
      <c r="B20" s="15">
        <f>'Projeção Óbitos'!B30</f>
        <v>2037</v>
      </c>
      <c r="C20" s="16">
        <f>'Receita e Margem de Contribuiçã'!K29-'Custos Fixos'!$G$43</f>
        <v>67815.492876266711</v>
      </c>
      <c r="D20" s="16">
        <f t="shared" si="0"/>
        <v>9977.7253995721039</v>
      </c>
      <c r="E20" s="16">
        <f>'Receita e Margem de Contribuiçã'!V29-'Custos Fixos'!$G$43</f>
        <v>-27347.695243004127</v>
      </c>
      <c r="F20" s="16">
        <f>'Receita e Margem de Contribuiçã'!AG29-'Custos Fixos'!$G$43</f>
        <v>161716.98018995381</v>
      </c>
      <c r="G20" s="16">
        <f t="shared" si="1"/>
        <v>23793.495443990185</v>
      </c>
    </row>
    <row r="21" spans="1:7" x14ac:dyDescent="0.25">
      <c r="A21" s="36">
        <v>15</v>
      </c>
      <c r="B21" s="15">
        <f>'Projeção Óbitos'!B31</f>
        <v>2038</v>
      </c>
      <c r="C21" s="16">
        <f>'Receita e Margem de Contribuiçã'!K30-'Custos Fixos'!$G$43</f>
        <v>68685.545633605041</v>
      </c>
      <c r="D21" s="16">
        <f t="shared" si="0"/>
        <v>8812.8862574747018</v>
      </c>
      <c r="E21" s="16">
        <f>'Receita e Margem de Contribuiçã'!V30-'Custos Fixos'!$G$43</f>
        <v>-26704.261537463171</v>
      </c>
      <c r="F21" s="16">
        <f>'Receita e Margem de Contribuiçã'!AG30-'Custos Fixos'!$G$43</f>
        <v>162810.64741879032</v>
      </c>
      <c r="G21" s="16">
        <f t="shared" si="1"/>
        <v>20889.864147859538</v>
      </c>
    </row>
    <row r="22" spans="1:7" x14ac:dyDescent="0.25">
      <c r="A22" s="36">
        <v>16</v>
      </c>
      <c r="B22" s="15">
        <f>'Projeção Óbitos'!B32</f>
        <v>2039</v>
      </c>
      <c r="C22" s="16">
        <f>'Receita e Margem de Contribuiçã'!K31-'Custos Fixos'!$G$43</f>
        <v>69457.25931024726</v>
      </c>
      <c r="D22" s="16">
        <f t="shared" si="0"/>
        <v>7771.7825808304297</v>
      </c>
      <c r="E22" s="16">
        <f>'Receita e Margem de Contribuiçã'!V31-'Custos Fixos'!$G$43</f>
        <v>-26133.552938024106</v>
      </c>
      <c r="F22" s="16">
        <f>'Receita e Margem de Contribuiçã'!AG31-'Custos Fixos'!$G$43</f>
        <v>163780.70118974877</v>
      </c>
      <c r="G22" s="16">
        <f t="shared" si="1"/>
        <v>18325.917452301386</v>
      </c>
    </row>
    <row r="23" spans="1:7" x14ac:dyDescent="0.25">
      <c r="A23" s="36">
        <v>17</v>
      </c>
      <c r="B23" s="15">
        <f>'Projeção Óbitos'!B33</f>
        <v>2040</v>
      </c>
      <c r="C23" s="16">
        <f>'Receita e Margem de Contribuiçã'!K32-'Custos Fixos'!$G$43</f>
        <v>70131.463042727555</v>
      </c>
      <c r="D23" s="16">
        <f t="shared" si="0"/>
        <v>6843.3079910068582</v>
      </c>
      <c r="E23" s="16">
        <f>'Receita e Margem de Contribuiçã'!V32-'Custos Fixos'!$G$43</f>
        <v>-25634.956269925111</v>
      </c>
      <c r="F23" s="16">
        <f>'Receita e Margem de Contribuiçã'!AG32-'Custos Fixos'!$G$43</f>
        <v>164628.18373785168</v>
      </c>
      <c r="G23" s="16">
        <f t="shared" si="1"/>
        <v>16064.136073017677</v>
      </c>
    </row>
    <row r="24" spans="1:7" x14ac:dyDescent="0.25">
      <c r="A24" s="36">
        <v>17</v>
      </c>
      <c r="B24" s="15">
        <f>'Projeção Óbitos'!B34</f>
        <v>2041</v>
      </c>
      <c r="C24" s="16">
        <f>'Receita e Margem de Contribuiçã'!K33-'Custos Fixos'!$G$43</f>
        <v>70709.022430563346</v>
      </c>
      <c r="D24" s="16">
        <f t="shared" si="0"/>
        <v>6899.6652464037643</v>
      </c>
      <c r="E24" s="16">
        <f>'Receita e Margem de Contribuiçã'!V33-'Custos Fixos'!$G$43</f>
        <v>-25207.831392783148</v>
      </c>
      <c r="F24" s="16">
        <f>'Receita e Margem de Contribuiçã'!AG33-'Custos Fixos'!$G$43</f>
        <v>165354.18313254963</v>
      </c>
      <c r="G24" s="16">
        <f t="shared" si="1"/>
        <v>16134.977849927074</v>
      </c>
    </row>
    <row r="25" spans="1:7" x14ac:dyDescent="0.25">
      <c r="A25" s="36">
        <v>17</v>
      </c>
      <c r="B25" s="15">
        <f>'Projeção Óbitos'!B35</f>
        <v>2042</v>
      </c>
      <c r="C25" s="16">
        <f>'Receita e Margem de Contribuiçã'!K34-'Custos Fixos'!$G$43</f>
        <v>71191.51806481427</v>
      </c>
      <c r="D25" s="16">
        <f t="shared" si="0"/>
        <v>6946.74634362091</v>
      </c>
      <c r="E25" s="16">
        <f>'Receita e Margem de Contribuiçã'!V34-'Custos Fixos'!$G$43</f>
        <v>-24851.009405570338</v>
      </c>
      <c r="F25" s="16">
        <f>'Receita e Margem de Contribuiçã'!AG34-'Custos Fixos'!$G$43</f>
        <v>165960.68619662971</v>
      </c>
      <c r="G25" s="16">
        <f t="shared" si="1"/>
        <v>16194.159379655903</v>
      </c>
    </row>
    <row r="26" spans="1:7" x14ac:dyDescent="0.25">
      <c r="A26" s="36">
        <v>17</v>
      </c>
      <c r="B26" s="15">
        <f>'Projeção Óbitos'!B36</f>
        <v>2043</v>
      </c>
      <c r="C26" s="16">
        <f>'Receita e Margem de Contribuiçã'!K35-'Custos Fixos'!$G$43</f>
        <v>71580.696997986233</v>
      </c>
      <c r="D26" s="16">
        <f t="shared" si="0"/>
        <v>6984.7217570481844</v>
      </c>
      <c r="E26" s="16">
        <f>'Receita e Margem de Contribuiçã'!V35-'Custos Fixos'!$G$43</f>
        <v>-24563.198303338606</v>
      </c>
      <c r="F26" s="16">
        <f>'Receita e Margem de Contribuiçã'!AG35-'Custos Fixos'!$G$43</f>
        <v>166449.88899700472</v>
      </c>
      <c r="G26" s="16">
        <f t="shared" si="1"/>
        <v>16241.894950650472</v>
      </c>
    </row>
    <row r="27" spans="1:7" x14ac:dyDescent="0.25">
      <c r="A27" s="36">
        <v>17</v>
      </c>
      <c r="B27" s="15">
        <f>'Projeção Óbitos'!B37</f>
        <v>2044</v>
      </c>
      <c r="C27" s="16">
        <f>'Receita e Margem de Contribuiçã'!K36-'Custos Fixos'!$G$43</f>
        <v>71877.047516986495</v>
      </c>
      <c r="D27" s="16">
        <f t="shared" si="0"/>
        <v>7013.6391328853024</v>
      </c>
      <c r="E27" s="16">
        <f>'Receita e Margem de Contribuiçã'!V36-'Custos Fixos'!$G$43</f>
        <v>-24344.036981256679</v>
      </c>
      <c r="F27" s="16">
        <f>'Receita e Margem de Contribuiçã'!AG36-'Custos Fixos'!$G$43</f>
        <v>166822.4053164412</v>
      </c>
      <c r="G27" s="16">
        <f t="shared" si="1"/>
        <v>16278.244454781408</v>
      </c>
    </row>
    <row r="28" spans="1:7" x14ac:dyDescent="0.25">
      <c r="A28" s="36">
        <v>17</v>
      </c>
      <c r="B28" s="15">
        <f>'Projeção Óbitos'!B38</f>
        <v>2045</v>
      </c>
      <c r="C28" s="16">
        <f>'Receita e Margem de Contribuiçã'!K37-'Custos Fixos'!$G$43</f>
        <v>72080.969129284611</v>
      </c>
      <c r="D28" s="16">
        <f t="shared" si="0"/>
        <v>7033.5374543865737</v>
      </c>
      <c r="E28" s="16">
        <f>'Receita e Margem de Contribuiçã'!V37-'Custos Fixos'!$G$43</f>
        <v>-24193.229989917192</v>
      </c>
      <c r="F28" s="16">
        <f>'Receita e Margem de Contribuiçã'!AG37-'Custos Fixos'!$G$43</f>
        <v>167078.73734083946</v>
      </c>
      <c r="G28" s="16">
        <f t="shared" si="1"/>
        <v>16303.256894488346</v>
      </c>
    </row>
    <row r="29" spans="1:7" x14ac:dyDescent="0.25">
      <c r="A29" s="36">
        <v>17</v>
      </c>
      <c r="B29" s="15">
        <f>'Projeção Óbitos'!B39</f>
        <v>2046</v>
      </c>
      <c r="C29" s="16">
        <f>'Receita e Margem de Contribuiçã'!K38-'Custos Fixos'!$G$43</f>
        <v>72192.945365746215</v>
      </c>
      <c r="D29" s="16">
        <f t="shared" si="0"/>
        <v>7044.4639036653189</v>
      </c>
      <c r="E29" s="16">
        <f>'Receita e Margem de Contribuiçã'!V38-'Custos Fixos'!$G$43</f>
        <v>-24110.419741743768</v>
      </c>
      <c r="F29" s="16">
        <f>'Receita e Margem de Contribuiçã'!AG38-'Custos Fixos'!$G$43</f>
        <v>167219.49287456291</v>
      </c>
      <c r="G29" s="16">
        <f t="shared" si="1"/>
        <v>16316.991578279574</v>
      </c>
    </row>
    <row r="30" spans="1:7" x14ac:dyDescent="0.25">
      <c r="A30" s="36">
        <v>17</v>
      </c>
      <c r="B30" s="15">
        <f>'Projeção Óbitos'!B40</f>
        <v>2047</v>
      </c>
      <c r="C30" s="16">
        <f>'Receita e Margem de Contribuiçã'!K39-'Custos Fixos'!$G$43</f>
        <v>72214.209626416501</v>
      </c>
      <c r="D30" s="16">
        <f t="shared" si="0"/>
        <v>7046.5388337844752</v>
      </c>
      <c r="E30" s="16">
        <f>'Receita e Margem de Contribuiçã'!V39-'Custos Fixos'!$G$43</f>
        <v>-24094.694095312385</v>
      </c>
      <c r="F30" s="16">
        <f>'Receita e Margem de Contribuiçã'!AG39-'Custos Fixos'!$G$43</f>
        <v>167246.22231693787</v>
      </c>
      <c r="G30" s="16">
        <f t="shared" si="1"/>
        <v>16319.599791464694</v>
      </c>
    </row>
    <row r="31" spans="1:7" x14ac:dyDescent="0.25">
      <c r="A31" s="36">
        <v>17</v>
      </c>
      <c r="B31" s="15">
        <f>'Projeção Óbitos'!B41</f>
        <v>2048</v>
      </c>
      <c r="C31" s="16">
        <f>'Receita e Margem de Contribuiçã'!K40-'Custos Fixos'!$G$43</f>
        <v>72145.741655803984</v>
      </c>
      <c r="D31" s="16">
        <f t="shared" si="0"/>
        <v>7039.8578465343553</v>
      </c>
      <c r="E31" s="16">
        <f>'Receita e Margem de Contribuiçã'!V40-'Custos Fixos'!$G$43</f>
        <v>-24145.328496123606</v>
      </c>
      <c r="F31" s="16">
        <f>'Receita e Margem de Contribuiçã'!AG40-'Custos Fixos'!$G$43</f>
        <v>167160.15721910069</v>
      </c>
      <c r="G31" s="16">
        <f t="shared" si="1"/>
        <v>16311.20170669328</v>
      </c>
    </row>
    <row r="32" spans="1:7" x14ac:dyDescent="0.25">
      <c r="A32" s="36">
        <v>17</v>
      </c>
      <c r="B32" s="15">
        <f>'Projeção Óbitos'!B42</f>
        <v>2049</v>
      </c>
      <c r="C32" s="16">
        <f>'Receita e Margem de Contribuiçã'!K41-'Custos Fixos'!$G$43</f>
        <v>71987.178409422282</v>
      </c>
      <c r="D32" s="16">
        <f t="shared" si="0"/>
        <v>7024.3855166560697</v>
      </c>
      <c r="E32" s="16">
        <f>'Receita e Margem de Contribuiçã'!V41-'Custos Fixos'!$G$43</f>
        <v>-24262.591427964857</v>
      </c>
      <c r="F32" s="16">
        <f>'Receita e Margem de Contribuiçã'!AG41-'Custos Fixos'!$G$43</f>
        <v>166960.84122957825</v>
      </c>
      <c r="G32" s="16">
        <f t="shared" si="1"/>
        <v>16291.752793970565</v>
      </c>
    </row>
    <row r="33" spans="1:7" x14ac:dyDescent="0.25">
      <c r="A33" s="36">
        <v>17</v>
      </c>
      <c r="B33" s="15">
        <f>'Projeção Óbitos'!B43</f>
        <v>2050</v>
      </c>
      <c r="C33" s="16">
        <f>'Receita e Margem de Contribuiçã'!K42-'Custos Fixos'!$G$43</f>
        <v>71737.980869257182</v>
      </c>
      <c r="D33" s="16">
        <f t="shared" si="0"/>
        <v>7000.0692476954164</v>
      </c>
      <c r="E33" s="16">
        <f>'Receita e Margem de Contribuiçã'!V42-'Custos Fixos'!$G$43</f>
        <v>-24446.881513051922</v>
      </c>
      <c r="F33" s="16">
        <f>'Receita e Margem de Contribuiçã'!AG42-'Custos Fixos'!$G$43</f>
        <v>166647.59679596586</v>
      </c>
      <c r="G33" s="16">
        <f t="shared" si="1"/>
        <v>16261.186938893907</v>
      </c>
    </row>
    <row r="34" spans="1:7" x14ac:dyDescent="0.25">
      <c r="A34" s="36">
        <v>17</v>
      </c>
      <c r="B34" s="15">
        <f>'Projeção Óbitos'!B44</f>
        <v>2051</v>
      </c>
      <c r="C34" s="16">
        <f>'Receita e Margem de Contribuiçã'!K43-'Custos Fixos'!$G$43</f>
        <v>71398.546957430779</v>
      </c>
      <c r="D34" s="16">
        <f t="shared" si="0"/>
        <v>6966.9478682112167</v>
      </c>
      <c r="E34" s="16">
        <f>'Receita e Margem de Contribuiçã'!V43-'Custos Fixos'!$G$43</f>
        <v>-24697.904474396084</v>
      </c>
      <c r="F34" s="16">
        <f>'Receita e Margem de Contribuiçã'!AG43-'Custos Fixos'!$G$43</f>
        <v>166220.92411136231</v>
      </c>
      <c r="G34" s="16">
        <f t="shared" si="1"/>
        <v>16219.552949448786</v>
      </c>
    </row>
    <row r="35" spans="1:7" x14ac:dyDescent="0.25">
      <c r="A35" s="36">
        <v>17</v>
      </c>
      <c r="B35" s="15">
        <f>'Projeção Óbitos'!B45</f>
        <v>2052</v>
      </c>
      <c r="C35" s="16">
        <f>'Receita e Margem de Contribuiçã'!K44-'Custos Fixos'!$G$43</f>
        <v>70970.024465244904</v>
      </c>
      <c r="D35" s="16">
        <f t="shared" si="0"/>
        <v>6925.1333777119216</v>
      </c>
      <c r="E35" s="16">
        <f>'Receita e Margem de Contribuiçã'!V44-'Custos Fixos'!$G$43</f>
        <v>-25014.811481159995</v>
      </c>
      <c r="F35" s="16">
        <f>'Receita e Margem de Contribuiçã'!AG44-'Custos Fixos'!$G$43</f>
        <v>165682.26596383017</v>
      </c>
      <c r="G35" s="16">
        <f t="shared" si="1"/>
        <v>16166.991610422081</v>
      </c>
    </row>
    <row r="36" spans="1:7" x14ac:dyDescent="0.25">
      <c r="A36" s="36">
        <v>17</v>
      </c>
      <c r="B36" s="15">
        <f>'Projeção Óbitos'!B46</f>
        <v>2053</v>
      </c>
      <c r="C36" s="16">
        <f>'Receita e Margem de Contribuiçã'!K45-'Custos Fixos'!$G$43</f>
        <v>70452.537049773324</v>
      </c>
      <c r="D36" s="16">
        <f t="shared" si="0"/>
        <v>6874.6378424428995</v>
      </c>
      <c r="E36" s="16">
        <f>'Receita e Margem de Contribuiçã'!V45-'Custos Fixos'!$G$43</f>
        <v>-25397.511084717757</v>
      </c>
      <c r="F36" s="16">
        <f>'Receita e Margem de Contribuiçã'!AG45-'Custos Fixos'!$G$43</f>
        <v>165031.77779186214</v>
      </c>
      <c r="G36" s="16">
        <f t="shared" si="1"/>
        <v>16103.51808923556</v>
      </c>
    </row>
    <row r="37" spans="1:7" x14ac:dyDescent="0.25">
      <c r="A37" s="36">
        <v>17</v>
      </c>
      <c r="B37" s="15">
        <f>'Projeção Óbitos'!B47</f>
        <v>2054</v>
      </c>
      <c r="C37" s="16">
        <f>'Receita e Margem de Contribuiçã'!K46-'Custos Fixos'!$G$43</f>
        <v>69845.64081382734</v>
      </c>
      <c r="D37" s="16">
        <f t="shared" si="0"/>
        <v>6815.4179476771105</v>
      </c>
      <c r="E37" s="16">
        <f>'Receita e Margem de Contribuiçã'!V46-'Custos Fixos'!$G$43</f>
        <v>-25846.331562188803</v>
      </c>
      <c r="F37" s="16">
        <f>'Receita e Margem de Contribuiçã'!AG46-'Custos Fixos'!$G$43</f>
        <v>164268.90161112475</v>
      </c>
      <c r="G37" s="16">
        <f t="shared" si="1"/>
        <v>16029.077938734088</v>
      </c>
    </row>
    <row r="38" spans="1:7" x14ac:dyDescent="0.25">
      <c r="A38" s="36">
        <v>17</v>
      </c>
      <c r="B38" s="15">
        <f>'Projeção Óbitos'!B48</f>
        <v>2055</v>
      </c>
      <c r="C38" s="16">
        <f>'Receita e Margem de Contribuiçã'!K47-'Custos Fixos'!$G$43</f>
        <v>69149.183564085572</v>
      </c>
      <c r="D38" s="16">
        <f t="shared" si="0"/>
        <v>6747.4588426510436</v>
      </c>
      <c r="E38" s="16">
        <f>'Receita e Margem de Contribuiçã'!V47-'Custos Fixos'!$G$43</f>
        <v>-26361.385465728061</v>
      </c>
      <c r="F38" s="16">
        <f>'Receita e Margem de Contribuiçã'!AG47-'Custos Fixos'!$G$43</f>
        <v>163393.44611270353</v>
      </c>
      <c r="G38" s="16">
        <f t="shared" si="1"/>
        <v>15943.652491321609</v>
      </c>
    </row>
    <row r="39" spans="1:7" x14ac:dyDescent="0.25">
      <c r="A39" s="36">
        <v>17</v>
      </c>
      <c r="B39" s="15">
        <f>'Projeção Óbitos'!B49</f>
        <v>2056</v>
      </c>
      <c r="C39" s="16">
        <f>'Receita e Margem de Contribuiçã'!K48-'Custos Fixos'!$G$43</f>
        <v>68364.278214212973</v>
      </c>
      <c r="D39" s="16">
        <f t="shared" si="0"/>
        <v>6670.8691235731067</v>
      </c>
      <c r="E39" s="16">
        <f>'Receita e Margem de Contribuiçã'!V48-'Custos Fixos'!$G$43</f>
        <v>-26941.849757700984</v>
      </c>
      <c r="F39" s="16">
        <f>'Receita e Margem de Contribuiçã'!AG48-'Custos Fixos'!$G$43</f>
        <v>162406.81024303474</v>
      </c>
      <c r="G39" s="16">
        <f t="shared" si="1"/>
        <v>15847.378253794226</v>
      </c>
    </row>
    <row r="40" spans="1:7" x14ac:dyDescent="0.25">
      <c r="A40" s="36">
        <v>17</v>
      </c>
      <c r="B40" s="15">
        <f>'Projeção Óbitos'!B50</f>
        <v>2057</v>
      </c>
      <c r="C40" s="16">
        <f>'Receita e Margem de Contribuiçã'!K49-'Custos Fixos'!$G$43</f>
        <v>67493.069738837774</v>
      </c>
      <c r="D40" s="16">
        <f t="shared" si="0"/>
        <v>6585.8580933920357</v>
      </c>
      <c r="E40" s="16">
        <f>'Receita e Margem de Contribuiçã'!V49-'Custos Fixos'!$G$43</f>
        <v>-27586.138156170375</v>
      </c>
      <c r="F40" s="16">
        <f>'Receita e Margem de Contribuiçã'!AG49-'Custos Fixos'!$G$43</f>
        <v>161311.69026212976</v>
      </c>
      <c r="G40" s="16">
        <f t="shared" si="1"/>
        <v>15740.518322583715</v>
      </c>
    </row>
    <row r="41" spans="1:7" x14ac:dyDescent="0.25">
      <c r="A41" s="36">
        <v>17</v>
      </c>
      <c r="B41" s="15">
        <f>'Projeção Óbitos'!B51</f>
        <v>2058</v>
      </c>
      <c r="C41" s="16">
        <f>'Receita e Margem de Contribuiçã'!K50-'Custos Fixos'!$G$43</f>
        <v>66536.472883237351</v>
      </c>
      <c r="D41" s="16">
        <f t="shared" si="0"/>
        <v>6492.5150113845475</v>
      </c>
      <c r="E41" s="16">
        <f>'Receita e Margem de Contribuiçã'!V50-'Custos Fixos'!$G$43</f>
        <v>-28293.574175786925</v>
      </c>
      <c r="F41" s="16">
        <f>'Receita e Margem de Contribuiçã'!AG50-'Custos Fixos'!$G$43</f>
        <v>160109.23601627583</v>
      </c>
      <c r="G41" s="16">
        <f t="shared" si="1"/>
        <v>15623.184897720485</v>
      </c>
    </row>
    <row r="42" spans="1:7" x14ac:dyDescent="0.25">
      <c r="A42" s="36">
        <v>17</v>
      </c>
      <c r="B42" s="15">
        <f>'Projeção Óbitos'!B52</f>
        <v>2059</v>
      </c>
      <c r="C42" s="16">
        <f>'Receita e Margem de Contribuiçã'!K51-'Custos Fixos'!$G$43</f>
        <v>65495.304101168993</v>
      </c>
      <c r="D42" s="16">
        <f t="shared" si="0"/>
        <v>6390.9195457092583</v>
      </c>
      <c r="E42" s="16">
        <f>'Receita e Margem de Contribuiçã'!V51-'Custos Fixos'!$G$43</f>
        <v>-29063.554021134682</v>
      </c>
      <c r="F42" s="16">
        <f>'Receita e Margem de Contribuiçã'!AG51-'Custos Fixos'!$G$43</f>
        <v>158800.47379808646</v>
      </c>
      <c r="G42" s="16">
        <f t="shared" si="1"/>
        <v>15495.478123079172</v>
      </c>
    </row>
    <row r="43" spans="1:7" x14ac:dyDescent="0.25">
      <c r="A43" s="36">
        <v>17</v>
      </c>
      <c r="B43" s="15">
        <f>'Projeção Óbitos'!B53</f>
        <v>2060</v>
      </c>
      <c r="C43" s="16">
        <f>'Receita e Margem de Contribuiçã'!K52-'Custos Fixos'!$G$43</f>
        <v>64370.985448982567</v>
      </c>
      <c r="D43" s="16">
        <f t="shared" si="0"/>
        <v>6281.210458188043</v>
      </c>
      <c r="E43" s="16">
        <f>'Receita e Margem de Contribuiçã'!V52-'Custos Fixos'!$G$43</f>
        <v>-29895.026033013884</v>
      </c>
      <c r="F43" s="16">
        <f>'Receita e Margem de Contribuiçã'!AG52-'Custos Fixos'!$G$43</f>
        <v>157387.19115022966</v>
      </c>
      <c r="G43" s="16">
        <f t="shared" si="1"/>
        <v>15357.572424010305</v>
      </c>
    </row>
  </sheetData>
  <mergeCells count="6">
    <mergeCell ref="J10:L10"/>
    <mergeCell ref="J5:K5"/>
    <mergeCell ref="L3:L4"/>
    <mergeCell ref="C4:G4"/>
    <mergeCell ref="B2:G2"/>
    <mergeCell ref="I10:I11"/>
  </mergeCells>
  <conditionalFormatting sqref="C6:G43">
    <cfRule type="cellIs" dxfId="0" priority="1" operator="lessThan">
      <formula>0</formula>
    </cfRule>
  </conditionalFormatting>
  <hyperlinks>
    <hyperlink ref="O7" r:id="rId1" xr:uid="{BABA99D6-2451-49BE-9274-4141C7851BA6}"/>
  </hyperlink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DF1FB-2D26-4193-B42B-A68AEAAA22EE}">
  <dimension ref="C2:E267"/>
  <sheetViews>
    <sheetView showGridLines="0" workbookViewId="0">
      <selection activeCell="H21" sqref="H21"/>
    </sheetView>
  </sheetViews>
  <sheetFormatPr defaultRowHeight="14.4" x14ac:dyDescent="0.3"/>
  <cols>
    <col min="3" max="3" width="8.88671875" style="26"/>
    <col min="4" max="4" width="10.5546875" style="26" bestFit="1" customWidth="1"/>
    <col min="5" max="5" width="8.88671875" style="26"/>
  </cols>
  <sheetData>
    <row r="2" spans="3:5" ht="40.799999999999997" customHeight="1" x14ac:dyDescent="0.35">
      <c r="C2" s="167" t="s">
        <v>348</v>
      </c>
      <c r="D2" s="167"/>
      <c r="E2" s="27">
        <f>(SUM(E3:E112)/110)/100</f>
        <v>9.4954545454545458E-2</v>
      </c>
    </row>
    <row r="3" spans="3:5" ht="15" x14ac:dyDescent="0.3">
      <c r="C3" s="24" t="s">
        <v>91</v>
      </c>
      <c r="D3" s="25">
        <v>45189</v>
      </c>
      <c r="E3" s="24">
        <v>12.75</v>
      </c>
    </row>
    <row r="4" spans="3:5" ht="15" x14ac:dyDescent="0.3">
      <c r="C4" s="24" t="s">
        <v>92</v>
      </c>
      <c r="D4" s="25">
        <v>45140</v>
      </c>
      <c r="E4" s="24">
        <v>13.25</v>
      </c>
    </row>
    <row r="5" spans="3:5" ht="15" x14ac:dyDescent="0.3">
      <c r="C5" s="24" t="s">
        <v>93</v>
      </c>
      <c r="D5" s="25">
        <v>45098</v>
      </c>
      <c r="E5" s="24">
        <v>13.75</v>
      </c>
    </row>
    <row r="6" spans="3:5" ht="15" x14ac:dyDescent="0.3">
      <c r="C6" s="24" t="s">
        <v>94</v>
      </c>
      <c r="D6" s="25">
        <v>45049</v>
      </c>
      <c r="E6" s="24">
        <v>13.75</v>
      </c>
    </row>
    <row r="7" spans="3:5" ht="15" x14ac:dyDescent="0.3">
      <c r="C7" s="24" t="s">
        <v>95</v>
      </c>
      <c r="D7" s="25">
        <v>45007</v>
      </c>
      <c r="E7" s="24">
        <v>13.75</v>
      </c>
    </row>
    <row r="8" spans="3:5" ht="15" x14ac:dyDescent="0.3">
      <c r="C8" s="24" t="s">
        <v>96</v>
      </c>
      <c r="D8" s="25">
        <v>44958</v>
      </c>
      <c r="E8" s="24">
        <v>13.75</v>
      </c>
    </row>
    <row r="9" spans="3:5" ht="15" x14ac:dyDescent="0.3">
      <c r="C9" s="24" t="s">
        <v>97</v>
      </c>
      <c r="D9" s="25">
        <v>44902</v>
      </c>
      <c r="E9" s="24">
        <v>13.75</v>
      </c>
    </row>
    <row r="10" spans="3:5" ht="15" x14ac:dyDescent="0.3">
      <c r="C10" s="24" t="s">
        <v>98</v>
      </c>
      <c r="D10" s="25">
        <v>44860</v>
      </c>
      <c r="E10" s="24">
        <v>13.75</v>
      </c>
    </row>
    <row r="11" spans="3:5" ht="15" x14ac:dyDescent="0.3">
      <c r="C11" s="24" t="s">
        <v>99</v>
      </c>
      <c r="D11" s="25">
        <v>44825</v>
      </c>
      <c r="E11" s="24">
        <v>13.75</v>
      </c>
    </row>
    <row r="12" spans="3:5" ht="15" x14ac:dyDescent="0.3">
      <c r="C12" s="24" t="s">
        <v>100</v>
      </c>
      <c r="D12" s="25">
        <v>44776</v>
      </c>
      <c r="E12" s="24">
        <v>13.75</v>
      </c>
    </row>
    <row r="13" spans="3:5" ht="15" x14ac:dyDescent="0.3">
      <c r="C13" s="24" t="s">
        <v>101</v>
      </c>
      <c r="D13" s="25">
        <v>44727</v>
      </c>
      <c r="E13" s="24">
        <v>13.25</v>
      </c>
    </row>
    <row r="14" spans="3:5" ht="15" x14ac:dyDescent="0.3">
      <c r="C14" s="24" t="s">
        <v>102</v>
      </c>
      <c r="D14" s="25">
        <v>44685</v>
      </c>
      <c r="E14" s="24">
        <v>12.75</v>
      </c>
    </row>
    <row r="15" spans="3:5" ht="15" x14ac:dyDescent="0.3">
      <c r="C15" s="24" t="s">
        <v>103</v>
      </c>
      <c r="D15" s="25">
        <v>44636</v>
      </c>
      <c r="E15" s="24">
        <v>11.75</v>
      </c>
    </row>
    <row r="16" spans="3:5" ht="15" x14ac:dyDescent="0.3">
      <c r="C16" s="24" t="s">
        <v>104</v>
      </c>
      <c r="D16" s="25">
        <v>44594</v>
      </c>
      <c r="E16" s="24">
        <v>10.75</v>
      </c>
    </row>
    <row r="17" spans="3:5" ht="15" x14ac:dyDescent="0.3">
      <c r="C17" s="24" t="s">
        <v>105</v>
      </c>
      <c r="D17" s="25">
        <v>44538</v>
      </c>
      <c r="E17" s="24">
        <v>9.25</v>
      </c>
    </row>
    <row r="18" spans="3:5" ht="15" x14ac:dyDescent="0.3">
      <c r="C18" s="24" t="s">
        <v>106</v>
      </c>
      <c r="D18" s="25">
        <v>44496</v>
      </c>
      <c r="E18" s="24">
        <v>7.75</v>
      </c>
    </row>
    <row r="19" spans="3:5" ht="15" x14ac:dyDescent="0.3">
      <c r="C19" s="24" t="s">
        <v>107</v>
      </c>
      <c r="D19" s="25">
        <v>44461</v>
      </c>
      <c r="E19" s="24">
        <v>6.25</v>
      </c>
    </row>
    <row r="20" spans="3:5" ht="15" x14ac:dyDescent="0.3">
      <c r="C20" s="24" t="s">
        <v>108</v>
      </c>
      <c r="D20" s="25">
        <v>44412</v>
      </c>
      <c r="E20" s="24">
        <v>5.25</v>
      </c>
    </row>
    <row r="21" spans="3:5" ht="15" x14ac:dyDescent="0.3">
      <c r="C21" s="24" t="s">
        <v>109</v>
      </c>
      <c r="D21" s="25">
        <v>44363</v>
      </c>
      <c r="E21" s="24">
        <v>4.25</v>
      </c>
    </row>
    <row r="22" spans="3:5" ht="15" x14ac:dyDescent="0.3">
      <c r="C22" s="24" t="s">
        <v>110</v>
      </c>
      <c r="D22" s="25">
        <v>44321</v>
      </c>
      <c r="E22" s="24">
        <v>3.5</v>
      </c>
    </row>
    <row r="23" spans="3:5" ht="15" x14ac:dyDescent="0.3">
      <c r="C23" s="24" t="s">
        <v>111</v>
      </c>
      <c r="D23" s="25">
        <v>44272</v>
      </c>
      <c r="E23" s="24">
        <v>2.75</v>
      </c>
    </row>
    <row r="24" spans="3:5" ht="15" x14ac:dyDescent="0.3">
      <c r="C24" s="24" t="s">
        <v>112</v>
      </c>
      <c r="D24" s="25">
        <v>44216</v>
      </c>
      <c r="E24" s="24">
        <v>2</v>
      </c>
    </row>
    <row r="25" spans="3:5" ht="15" x14ac:dyDescent="0.3">
      <c r="C25" s="24" t="s">
        <v>113</v>
      </c>
      <c r="D25" s="25">
        <v>44174</v>
      </c>
      <c r="E25" s="24">
        <v>2</v>
      </c>
    </row>
    <row r="26" spans="3:5" ht="15" x14ac:dyDescent="0.3">
      <c r="C26" s="24" t="s">
        <v>114</v>
      </c>
      <c r="D26" s="25">
        <v>44132</v>
      </c>
      <c r="E26" s="24">
        <v>2</v>
      </c>
    </row>
    <row r="27" spans="3:5" ht="15" x14ac:dyDescent="0.3">
      <c r="C27" s="24" t="s">
        <v>115</v>
      </c>
      <c r="D27" s="25">
        <v>44090</v>
      </c>
      <c r="E27" s="24">
        <v>2</v>
      </c>
    </row>
    <row r="28" spans="3:5" ht="15" x14ac:dyDescent="0.3">
      <c r="C28" s="24" t="s">
        <v>116</v>
      </c>
      <c r="D28" s="25">
        <v>44048</v>
      </c>
      <c r="E28" s="24">
        <v>2</v>
      </c>
    </row>
    <row r="29" spans="3:5" ht="15" x14ac:dyDescent="0.3">
      <c r="C29" s="24" t="s">
        <v>117</v>
      </c>
      <c r="D29" s="25">
        <v>43999</v>
      </c>
      <c r="E29" s="24">
        <v>2.25</v>
      </c>
    </row>
    <row r="30" spans="3:5" ht="15" x14ac:dyDescent="0.3">
      <c r="C30" s="24" t="s">
        <v>118</v>
      </c>
      <c r="D30" s="25">
        <v>43957</v>
      </c>
      <c r="E30" s="24">
        <v>3</v>
      </c>
    </row>
    <row r="31" spans="3:5" ht="15" x14ac:dyDescent="0.3">
      <c r="C31" s="24" t="s">
        <v>119</v>
      </c>
      <c r="D31" s="25">
        <v>43908</v>
      </c>
      <c r="E31" s="24">
        <v>3.75</v>
      </c>
    </row>
    <row r="32" spans="3:5" ht="15" x14ac:dyDescent="0.3">
      <c r="C32" s="24" t="s">
        <v>120</v>
      </c>
      <c r="D32" s="25">
        <v>43866</v>
      </c>
      <c r="E32" s="24">
        <v>4.25</v>
      </c>
    </row>
    <row r="33" spans="3:5" ht="15" x14ac:dyDescent="0.3">
      <c r="C33" s="24" t="s">
        <v>121</v>
      </c>
      <c r="D33" s="25">
        <v>43810</v>
      </c>
      <c r="E33" s="24">
        <v>4.5</v>
      </c>
    </row>
    <row r="34" spans="3:5" ht="15" x14ac:dyDescent="0.3">
      <c r="C34" s="24" t="s">
        <v>122</v>
      </c>
      <c r="D34" s="25">
        <v>43768</v>
      </c>
      <c r="E34" s="24">
        <v>5</v>
      </c>
    </row>
    <row r="35" spans="3:5" ht="15" x14ac:dyDescent="0.3">
      <c r="C35" s="24" t="s">
        <v>123</v>
      </c>
      <c r="D35" s="25">
        <v>43726</v>
      </c>
      <c r="E35" s="24">
        <v>5.5</v>
      </c>
    </row>
    <row r="36" spans="3:5" ht="15" x14ac:dyDescent="0.3">
      <c r="C36" s="24" t="s">
        <v>124</v>
      </c>
      <c r="D36" s="25">
        <v>43677</v>
      </c>
      <c r="E36" s="24">
        <v>6</v>
      </c>
    </row>
    <row r="37" spans="3:5" ht="15" x14ac:dyDescent="0.3">
      <c r="C37" s="24" t="s">
        <v>125</v>
      </c>
      <c r="D37" s="25">
        <v>43635</v>
      </c>
      <c r="E37" s="24">
        <v>6.5</v>
      </c>
    </row>
    <row r="38" spans="3:5" ht="15" x14ac:dyDescent="0.3">
      <c r="C38" s="24" t="s">
        <v>126</v>
      </c>
      <c r="D38" s="25">
        <v>43593</v>
      </c>
      <c r="E38" s="24">
        <v>6.5</v>
      </c>
    </row>
    <row r="39" spans="3:5" ht="15" x14ac:dyDescent="0.3">
      <c r="C39" s="24" t="s">
        <v>127</v>
      </c>
      <c r="D39" s="25">
        <v>43544</v>
      </c>
      <c r="E39" s="24">
        <v>6.5</v>
      </c>
    </row>
    <row r="40" spans="3:5" ht="15" x14ac:dyDescent="0.3">
      <c r="C40" s="24" t="s">
        <v>128</v>
      </c>
      <c r="D40" s="25">
        <v>43502</v>
      </c>
      <c r="E40" s="24">
        <v>6.5</v>
      </c>
    </row>
    <row r="41" spans="3:5" ht="15" x14ac:dyDescent="0.3">
      <c r="C41" s="24" t="s">
        <v>129</v>
      </c>
      <c r="D41" s="25">
        <v>43446</v>
      </c>
      <c r="E41" s="24">
        <v>6.5</v>
      </c>
    </row>
    <row r="42" spans="3:5" ht="15" x14ac:dyDescent="0.3">
      <c r="C42" s="24" t="s">
        <v>130</v>
      </c>
      <c r="D42" s="25">
        <v>43404</v>
      </c>
      <c r="E42" s="24">
        <v>6.5</v>
      </c>
    </row>
    <row r="43" spans="3:5" ht="15" x14ac:dyDescent="0.3">
      <c r="C43" s="24" t="s">
        <v>131</v>
      </c>
      <c r="D43" s="25">
        <v>43362</v>
      </c>
      <c r="E43" s="24">
        <v>6.5</v>
      </c>
    </row>
    <row r="44" spans="3:5" ht="15" x14ac:dyDescent="0.3">
      <c r="C44" s="24" t="s">
        <v>132</v>
      </c>
      <c r="D44" s="25">
        <v>43313</v>
      </c>
      <c r="E44" s="24">
        <v>6.5</v>
      </c>
    </row>
    <row r="45" spans="3:5" ht="15" x14ac:dyDescent="0.3">
      <c r="C45" s="24" t="s">
        <v>133</v>
      </c>
      <c r="D45" s="25">
        <v>43271</v>
      </c>
      <c r="E45" s="24">
        <v>6.5</v>
      </c>
    </row>
    <row r="46" spans="3:5" ht="15" x14ac:dyDescent="0.3">
      <c r="C46" s="24" t="s">
        <v>134</v>
      </c>
      <c r="D46" s="25">
        <v>43236</v>
      </c>
      <c r="E46" s="24">
        <v>6.5</v>
      </c>
    </row>
    <row r="47" spans="3:5" ht="15" x14ac:dyDescent="0.3">
      <c r="C47" s="24" t="s">
        <v>135</v>
      </c>
      <c r="D47" s="25">
        <v>43180</v>
      </c>
      <c r="E47" s="24">
        <v>6.5</v>
      </c>
    </row>
    <row r="48" spans="3:5" ht="15" x14ac:dyDescent="0.3">
      <c r="C48" s="24" t="s">
        <v>136</v>
      </c>
      <c r="D48" s="25">
        <v>43138</v>
      </c>
      <c r="E48" s="24">
        <v>6.75</v>
      </c>
    </row>
    <row r="49" spans="3:5" ht="15" x14ac:dyDescent="0.3">
      <c r="C49" s="24" t="s">
        <v>137</v>
      </c>
      <c r="D49" s="25">
        <v>43075</v>
      </c>
      <c r="E49" s="24">
        <v>7</v>
      </c>
    </row>
    <row r="50" spans="3:5" ht="15" x14ac:dyDescent="0.3">
      <c r="C50" s="24" t="s">
        <v>138</v>
      </c>
      <c r="D50" s="25">
        <v>43033</v>
      </c>
      <c r="E50" s="24">
        <v>7.5</v>
      </c>
    </row>
    <row r="51" spans="3:5" ht="15" x14ac:dyDescent="0.3">
      <c r="C51" s="24" t="s">
        <v>139</v>
      </c>
      <c r="D51" s="25">
        <v>42984</v>
      </c>
      <c r="E51" s="24">
        <v>8.25</v>
      </c>
    </row>
    <row r="52" spans="3:5" ht="15" x14ac:dyDescent="0.3">
      <c r="C52" s="24" t="s">
        <v>140</v>
      </c>
      <c r="D52" s="25">
        <v>42942</v>
      </c>
      <c r="E52" s="24">
        <v>9.25</v>
      </c>
    </row>
    <row r="53" spans="3:5" ht="15" x14ac:dyDescent="0.3">
      <c r="C53" s="24" t="s">
        <v>141</v>
      </c>
      <c r="D53" s="25">
        <v>42886</v>
      </c>
      <c r="E53" s="24">
        <v>10.25</v>
      </c>
    </row>
    <row r="54" spans="3:5" ht="15" x14ac:dyDescent="0.3">
      <c r="C54" s="24" t="s">
        <v>142</v>
      </c>
      <c r="D54" s="25">
        <v>42837</v>
      </c>
      <c r="E54" s="24">
        <v>11.25</v>
      </c>
    </row>
    <row r="55" spans="3:5" ht="15" x14ac:dyDescent="0.3">
      <c r="C55" s="24" t="s">
        <v>143</v>
      </c>
      <c r="D55" s="25">
        <v>42788</v>
      </c>
      <c r="E55" s="24">
        <v>12.25</v>
      </c>
    </row>
    <row r="56" spans="3:5" ht="15" x14ac:dyDescent="0.3">
      <c r="C56" s="24" t="s">
        <v>144</v>
      </c>
      <c r="D56" s="25">
        <v>42746</v>
      </c>
      <c r="E56" s="24">
        <v>13</v>
      </c>
    </row>
    <row r="57" spans="3:5" ht="15" x14ac:dyDescent="0.3">
      <c r="C57" s="24" t="s">
        <v>145</v>
      </c>
      <c r="D57" s="25">
        <v>42704</v>
      </c>
      <c r="E57" s="24">
        <v>13.75</v>
      </c>
    </row>
    <row r="58" spans="3:5" ht="15" x14ac:dyDescent="0.3">
      <c r="C58" s="24" t="s">
        <v>146</v>
      </c>
      <c r="D58" s="25">
        <v>42662</v>
      </c>
      <c r="E58" s="24">
        <v>14</v>
      </c>
    </row>
    <row r="59" spans="3:5" ht="15" x14ac:dyDescent="0.3">
      <c r="C59" s="24" t="s">
        <v>147</v>
      </c>
      <c r="D59" s="25">
        <v>42613</v>
      </c>
      <c r="E59" s="24">
        <v>14.25</v>
      </c>
    </row>
    <row r="60" spans="3:5" ht="15" x14ac:dyDescent="0.3">
      <c r="C60" s="24" t="s">
        <v>148</v>
      </c>
      <c r="D60" s="25">
        <v>42571</v>
      </c>
      <c r="E60" s="24">
        <v>14.25</v>
      </c>
    </row>
    <row r="61" spans="3:5" ht="15" x14ac:dyDescent="0.3">
      <c r="C61" s="24" t="s">
        <v>149</v>
      </c>
      <c r="D61" s="25">
        <v>42529</v>
      </c>
      <c r="E61" s="24">
        <v>14.25</v>
      </c>
    </row>
    <row r="62" spans="3:5" ht="15" x14ac:dyDescent="0.3">
      <c r="C62" s="24" t="s">
        <v>150</v>
      </c>
      <c r="D62" s="25">
        <v>42487</v>
      </c>
      <c r="E62" s="24">
        <v>14.25</v>
      </c>
    </row>
    <row r="63" spans="3:5" ht="15" x14ac:dyDescent="0.3">
      <c r="C63" s="24" t="s">
        <v>151</v>
      </c>
      <c r="D63" s="25">
        <v>42431</v>
      </c>
      <c r="E63" s="24">
        <v>14.25</v>
      </c>
    </row>
    <row r="64" spans="3:5" ht="15" x14ac:dyDescent="0.3">
      <c r="C64" s="24" t="s">
        <v>152</v>
      </c>
      <c r="D64" s="25">
        <v>42389</v>
      </c>
      <c r="E64" s="24">
        <v>14.25</v>
      </c>
    </row>
    <row r="65" spans="3:5" ht="15" x14ac:dyDescent="0.3">
      <c r="C65" s="24" t="s">
        <v>153</v>
      </c>
      <c r="D65" s="25">
        <v>42333</v>
      </c>
      <c r="E65" s="24">
        <v>14.25</v>
      </c>
    </row>
    <row r="66" spans="3:5" ht="15" x14ac:dyDescent="0.3">
      <c r="C66" s="24" t="s">
        <v>154</v>
      </c>
      <c r="D66" s="25">
        <v>42298</v>
      </c>
      <c r="E66" s="24">
        <v>14.25</v>
      </c>
    </row>
    <row r="67" spans="3:5" ht="15" x14ac:dyDescent="0.3">
      <c r="C67" s="24" t="s">
        <v>155</v>
      </c>
      <c r="D67" s="25">
        <v>42249</v>
      </c>
      <c r="E67" s="24">
        <v>14.25</v>
      </c>
    </row>
    <row r="68" spans="3:5" ht="15" x14ac:dyDescent="0.3">
      <c r="C68" s="24" t="s">
        <v>156</v>
      </c>
      <c r="D68" s="25">
        <v>42214</v>
      </c>
      <c r="E68" s="24">
        <v>14.25</v>
      </c>
    </row>
    <row r="69" spans="3:5" ht="15" x14ac:dyDescent="0.3">
      <c r="C69" s="24" t="s">
        <v>157</v>
      </c>
      <c r="D69" s="25">
        <v>42158</v>
      </c>
      <c r="E69" s="24">
        <v>13.75</v>
      </c>
    </row>
    <row r="70" spans="3:5" ht="15" x14ac:dyDescent="0.3">
      <c r="C70" s="24" t="s">
        <v>158</v>
      </c>
      <c r="D70" s="25">
        <v>42123</v>
      </c>
      <c r="E70" s="24">
        <v>13.25</v>
      </c>
    </row>
    <row r="71" spans="3:5" ht="15" x14ac:dyDescent="0.3">
      <c r="C71" s="24" t="s">
        <v>159</v>
      </c>
      <c r="D71" s="25">
        <v>42067</v>
      </c>
      <c r="E71" s="24">
        <v>12.75</v>
      </c>
    </row>
    <row r="72" spans="3:5" ht="15" x14ac:dyDescent="0.3">
      <c r="C72" s="24" t="s">
        <v>160</v>
      </c>
      <c r="D72" s="25">
        <v>42025</v>
      </c>
      <c r="E72" s="24">
        <v>12.25</v>
      </c>
    </row>
    <row r="73" spans="3:5" ht="15" x14ac:dyDescent="0.3">
      <c r="C73" s="24" t="s">
        <v>161</v>
      </c>
      <c r="D73" s="25">
        <v>41976</v>
      </c>
      <c r="E73" s="24">
        <v>11.75</v>
      </c>
    </row>
    <row r="74" spans="3:5" ht="15" x14ac:dyDescent="0.3">
      <c r="C74" s="24" t="s">
        <v>162</v>
      </c>
      <c r="D74" s="25">
        <v>41941</v>
      </c>
      <c r="E74" s="24">
        <v>11.25</v>
      </c>
    </row>
    <row r="75" spans="3:5" ht="15" x14ac:dyDescent="0.3">
      <c r="C75" s="24" t="s">
        <v>163</v>
      </c>
      <c r="D75" s="25">
        <v>41885</v>
      </c>
      <c r="E75" s="24">
        <v>11</v>
      </c>
    </row>
    <row r="76" spans="3:5" ht="15" x14ac:dyDescent="0.3">
      <c r="C76" s="24" t="s">
        <v>164</v>
      </c>
      <c r="D76" s="25">
        <v>41836</v>
      </c>
      <c r="E76" s="24">
        <v>11</v>
      </c>
    </row>
    <row r="77" spans="3:5" ht="15" x14ac:dyDescent="0.3">
      <c r="C77" s="24" t="s">
        <v>165</v>
      </c>
      <c r="D77" s="25">
        <v>41787</v>
      </c>
      <c r="E77" s="24">
        <v>11</v>
      </c>
    </row>
    <row r="78" spans="3:5" ht="15" x14ac:dyDescent="0.3">
      <c r="C78" s="24" t="s">
        <v>166</v>
      </c>
      <c r="D78" s="25">
        <v>41731</v>
      </c>
      <c r="E78" s="24">
        <v>11</v>
      </c>
    </row>
    <row r="79" spans="3:5" ht="15" x14ac:dyDescent="0.3">
      <c r="C79" s="24" t="s">
        <v>167</v>
      </c>
      <c r="D79" s="25">
        <v>41696</v>
      </c>
      <c r="E79" s="24">
        <v>10.75</v>
      </c>
    </row>
    <row r="80" spans="3:5" ht="15" x14ac:dyDescent="0.3">
      <c r="C80" s="24" t="s">
        <v>168</v>
      </c>
      <c r="D80" s="25">
        <v>41654</v>
      </c>
      <c r="E80" s="24">
        <v>10.5</v>
      </c>
    </row>
    <row r="81" spans="3:5" ht="15" x14ac:dyDescent="0.3">
      <c r="C81" s="24" t="s">
        <v>169</v>
      </c>
      <c r="D81" s="25">
        <v>41605</v>
      </c>
      <c r="E81" s="24">
        <v>10</v>
      </c>
    </row>
    <row r="82" spans="3:5" ht="15" x14ac:dyDescent="0.3">
      <c r="C82" s="24" t="s">
        <v>170</v>
      </c>
      <c r="D82" s="25">
        <v>41556</v>
      </c>
      <c r="E82" s="24">
        <v>9.5</v>
      </c>
    </row>
    <row r="83" spans="3:5" ht="15" x14ac:dyDescent="0.3">
      <c r="C83" s="24" t="s">
        <v>171</v>
      </c>
      <c r="D83" s="25">
        <v>41514</v>
      </c>
      <c r="E83" s="24">
        <v>9</v>
      </c>
    </row>
    <row r="84" spans="3:5" ht="15" x14ac:dyDescent="0.3">
      <c r="C84" s="24" t="s">
        <v>172</v>
      </c>
      <c r="D84" s="25">
        <v>41465</v>
      </c>
      <c r="E84" s="24">
        <v>8.5</v>
      </c>
    </row>
    <row r="85" spans="3:5" ht="15" x14ac:dyDescent="0.3">
      <c r="C85" s="24" t="s">
        <v>173</v>
      </c>
      <c r="D85" s="25">
        <v>41423</v>
      </c>
      <c r="E85" s="24">
        <v>8</v>
      </c>
    </row>
    <row r="86" spans="3:5" ht="15" x14ac:dyDescent="0.3">
      <c r="C86" s="24" t="s">
        <v>174</v>
      </c>
      <c r="D86" s="25">
        <v>41381</v>
      </c>
      <c r="E86" s="24">
        <v>7.5</v>
      </c>
    </row>
    <row r="87" spans="3:5" ht="15" x14ac:dyDescent="0.3">
      <c r="C87" s="24" t="s">
        <v>175</v>
      </c>
      <c r="D87" s="25">
        <v>41339</v>
      </c>
      <c r="E87" s="24">
        <v>7.25</v>
      </c>
    </row>
    <row r="88" spans="3:5" ht="15" x14ac:dyDescent="0.3">
      <c r="C88" s="24" t="s">
        <v>176</v>
      </c>
      <c r="D88" s="25">
        <v>41290</v>
      </c>
      <c r="E88" s="24">
        <v>7.25</v>
      </c>
    </row>
    <row r="89" spans="3:5" ht="15" x14ac:dyDescent="0.3">
      <c r="C89" s="24" t="s">
        <v>177</v>
      </c>
      <c r="D89" s="25">
        <v>41241</v>
      </c>
      <c r="E89" s="24">
        <v>7.25</v>
      </c>
    </row>
    <row r="90" spans="3:5" ht="15" x14ac:dyDescent="0.3">
      <c r="C90" s="24" t="s">
        <v>178</v>
      </c>
      <c r="D90" s="25">
        <v>41192</v>
      </c>
      <c r="E90" s="24">
        <v>7.25</v>
      </c>
    </row>
    <row r="91" spans="3:5" ht="15" x14ac:dyDescent="0.3">
      <c r="C91" s="24" t="s">
        <v>179</v>
      </c>
      <c r="D91" s="25">
        <v>41150</v>
      </c>
      <c r="E91" s="24">
        <v>7.5</v>
      </c>
    </row>
    <row r="92" spans="3:5" ht="15" x14ac:dyDescent="0.3">
      <c r="C92" s="24" t="s">
        <v>180</v>
      </c>
      <c r="D92" s="25">
        <v>41101</v>
      </c>
      <c r="E92" s="24">
        <v>8</v>
      </c>
    </row>
    <row r="93" spans="3:5" ht="15" x14ac:dyDescent="0.3">
      <c r="C93" s="24" t="s">
        <v>181</v>
      </c>
      <c r="D93" s="25">
        <v>41059</v>
      </c>
      <c r="E93" s="24">
        <v>8.5</v>
      </c>
    </row>
    <row r="94" spans="3:5" ht="15" x14ac:dyDescent="0.3">
      <c r="C94" s="24" t="s">
        <v>182</v>
      </c>
      <c r="D94" s="25">
        <v>41017</v>
      </c>
      <c r="E94" s="24">
        <v>9</v>
      </c>
    </row>
    <row r="95" spans="3:5" ht="15" x14ac:dyDescent="0.3">
      <c r="C95" s="24" t="s">
        <v>183</v>
      </c>
      <c r="D95" s="25">
        <v>40975</v>
      </c>
      <c r="E95" s="24">
        <v>9.75</v>
      </c>
    </row>
    <row r="96" spans="3:5" ht="15" x14ac:dyDescent="0.3">
      <c r="C96" s="24" t="s">
        <v>184</v>
      </c>
      <c r="D96" s="25">
        <v>40926</v>
      </c>
      <c r="E96" s="24">
        <v>10.5</v>
      </c>
    </row>
    <row r="97" spans="3:5" ht="15" x14ac:dyDescent="0.3">
      <c r="C97" s="24" t="s">
        <v>185</v>
      </c>
      <c r="D97" s="25">
        <v>40877</v>
      </c>
      <c r="E97" s="24">
        <v>11</v>
      </c>
    </row>
    <row r="98" spans="3:5" ht="15" x14ac:dyDescent="0.3">
      <c r="C98" s="24" t="s">
        <v>186</v>
      </c>
      <c r="D98" s="25">
        <v>40835</v>
      </c>
      <c r="E98" s="24">
        <v>11.5</v>
      </c>
    </row>
    <row r="99" spans="3:5" ht="15" x14ac:dyDescent="0.3">
      <c r="C99" s="24" t="s">
        <v>187</v>
      </c>
      <c r="D99" s="25">
        <v>40786</v>
      </c>
      <c r="E99" s="24">
        <v>12</v>
      </c>
    </row>
    <row r="100" spans="3:5" ht="15" x14ac:dyDescent="0.3">
      <c r="C100" s="24" t="s">
        <v>188</v>
      </c>
      <c r="D100" s="25">
        <v>40744</v>
      </c>
      <c r="E100" s="24">
        <v>12.5</v>
      </c>
    </row>
    <row r="101" spans="3:5" ht="15" x14ac:dyDescent="0.3">
      <c r="C101" s="24" t="s">
        <v>189</v>
      </c>
      <c r="D101" s="25">
        <v>40702</v>
      </c>
      <c r="E101" s="24">
        <v>12.25</v>
      </c>
    </row>
    <row r="102" spans="3:5" ht="15" x14ac:dyDescent="0.3">
      <c r="C102" s="24" t="s">
        <v>190</v>
      </c>
      <c r="D102" s="25">
        <v>40653</v>
      </c>
      <c r="E102" s="24">
        <v>12</v>
      </c>
    </row>
    <row r="103" spans="3:5" ht="15" x14ac:dyDescent="0.3">
      <c r="C103" s="24" t="s">
        <v>191</v>
      </c>
      <c r="D103" s="25">
        <v>40604</v>
      </c>
      <c r="E103" s="24">
        <v>11.75</v>
      </c>
    </row>
    <row r="104" spans="3:5" ht="15" x14ac:dyDescent="0.3">
      <c r="C104" s="24" t="s">
        <v>192</v>
      </c>
      <c r="D104" s="25">
        <v>40562</v>
      </c>
      <c r="E104" s="24">
        <v>11.25</v>
      </c>
    </row>
    <row r="105" spans="3:5" ht="15" x14ac:dyDescent="0.3">
      <c r="C105" s="24" t="s">
        <v>193</v>
      </c>
      <c r="D105" s="25">
        <v>40520</v>
      </c>
      <c r="E105" s="24">
        <v>10.75</v>
      </c>
    </row>
    <row r="106" spans="3:5" ht="15" x14ac:dyDescent="0.3">
      <c r="C106" s="24" t="s">
        <v>194</v>
      </c>
      <c r="D106" s="25">
        <v>40471</v>
      </c>
      <c r="E106" s="24">
        <v>10.75</v>
      </c>
    </row>
    <row r="107" spans="3:5" ht="15" x14ac:dyDescent="0.3">
      <c r="C107" s="24" t="s">
        <v>195</v>
      </c>
      <c r="D107" s="25">
        <v>40422</v>
      </c>
      <c r="E107" s="24">
        <v>10.75</v>
      </c>
    </row>
    <row r="108" spans="3:5" ht="15" x14ac:dyDescent="0.3">
      <c r="C108" s="24" t="s">
        <v>196</v>
      </c>
      <c r="D108" s="25">
        <v>40380</v>
      </c>
      <c r="E108" s="24">
        <v>10.75</v>
      </c>
    </row>
    <row r="109" spans="3:5" ht="15" x14ac:dyDescent="0.3">
      <c r="C109" s="24" t="s">
        <v>197</v>
      </c>
      <c r="D109" s="25">
        <v>40338</v>
      </c>
      <c r="E109" s="24">
        <v>10.25</v>
      </c>
    </row>
    <row r="110" spans="3:5" ht="15" x14ac:dyDescent="0.3">
      <c r="C110" s="24" t="s">
        <v>198</v>
      </c>
      <c r="D110" s="25">
        <v>40296</v>
      </c>
      <c r="E110" s="24">
        <v>9.5</v>
      </c>
    </row>
    <row r="111" spans="3:5" ht="15" x14ac:dyDescent="0.3">
      <c r="C111" s="24" t="s">
        <v>199</v>
      </c>
      <c r="D111" s="25">
        <v>40254</v>
      </c>
      <c r="E111" s="24">
        <v>8.75</v>
      </c>
    </row>
    <row r="112" spans="3:5" ht="15" x14ac:dyDescent="0.3">
      <c r="C112" s="24" t="s">
        <v>200</v>
      </c>
      <c r="D112" s="25">
        <v>40205</v>
      </c>
      <c r="E112" s="24">
        <v>8.75</v>
      </c>
    </row>
    <row r="113" spans="3:5" ht="15" x14ac:dyDescent="0.3">
      <c r="C113" s="24" t="s">
        <v>201</v>
      </c>
      <c r="D113" s="25">
        <v>40156</v>
      </c>
      <c r="E113" s="24">
        <v>8.75</v>
      </c>
    </row>
    <row r="114" spans="3:5" ht="15" x14ac:dyDescent="0.3">
      <c r="C114" s="24" t="s">
        <v>202</v>
      </c>
      <c r="D114" s="25">
        <v>40107</v>
      </c>
      <c r="E114" s="24">
        <v>8.75</v>
      </c>
    </row>
    <row r="115" spans="3:5" ht="15" x14ac:dyDescent="0.3">
      <c r="C115" s="24" t="s">
        <v>203</v>
      </c>
      <c r="D115" s="25">
        <v>40058</v>
      </c>
      <c r="E115" s="24">
        <v>8.75</v>
      </c>
    </row>
    <row r="116" spans="3:5" ht="15" x14ac:dyDescent="0.3">
      <c r="C116" s="24" t="s">
        <v>204</v>
      </c>
      <c r="D116" s="25">
        <v>40016</v>
      </c>
      <c r="E116" s="24">
        <v>8.75</v>
      </c>
    </row>
    <row r="117" spans="3:5" ht="15" x14ac:dyDescent="0.3">
      <c r="C117" s="24" t="s">
        <v>205</v>
      </c>
      <c r="D117" s="25">
        <v>39974</v>
      </c>
      <c r="E117" s="24">
        <v>9.25</v>
      </c>
    </row>
    <row r="118" spans="3:5" ht="15" x14ac:dyDescent="0.3">
      <c r="C118" s="24" t="s">
        <v>206</v>
      </c>
      <c r="D118" s="25">
        <v>39932</v>
      </c>
      <c r="E118" s="24">
        <v>10.25</v>
      </c>
    </row>
    <row r="119" spans="3:5" ht="15" x14ac:dyDescent="0.3">
      <c r="C119" s="24" t="s">
        <v>207</v>
      </c>
      <c r="D119" s="25">
        <v>39883</v>
      </c>
      <c r="E119" s="24">
        <v>11.25</v>
      </c>
    </row>
    <row r="120" spans="3:5" ht="15" x14ac:dyDescent="0.3">
      <c r="C120" s="24" t="s">
        <v>208</v>
      </c>
      <c r="D120" s="25">
        <v>39834</v>
      </c>
      <c r="E120" s="24">
        <v>12.75</v>
      </c>
    </row>
    <row r="121" spans="3:5" ht="15" x14ac:dyDescent="0.3">
      <c r="C121" s="24" t="s">
        <v>209</v>
      </c>
      <c r="D121" s="25">
        <v>39792</v>
      </c>
      <c r="E121" s="24">
        <v>13.75</v>
      </c>
    </row>
    <row r="122" spans="3:5" ht="15" x14ac:dyDescent="0.3">
      <c r="C122" s="24" t="s">
        <v>210</v>
      </c>
      <c r="D122" s="25">
        <v>39750</v>
      </c>
      <c r="E122" s="24">
        <v>13.75</v>
      </c>
    </row>
    <row r="123" spans="3:5" ht="15" x14ac:dyDescent="0.3">
      <c r="C123" s="24" t="s">
        <v>211</v>
      </c>
      <c r="D123" s="25">
        <v>39701</v>
      </c>
      <c r="E123" s="24">
        <v>13.75</v>
      </c>
    </row>
    <row r="124" spans="3:5" ht="15" x14ac:dyDescent="0.3">
      <c r="C124" s="24" t="s">
        <v>212</v>
      </c>
      <c r="D124" s="25">
        <v>39652</v>
      </c>
      <c r="E124" s="24">
        <v>13</v>
      </c>
    </row>
    <row r="125" spans="3:5" ht="15" x14ac:dyDescent="0.3">
      <c r="C125" s="24" t="s">
        <v>213</v>
      </c>
      <c r="D125" s="25">
        <v>39603</v>
      </c>
      <c r="E125" s="24">
        <v>12.25</v>
      </c>
    </row>
    <row r="126" spans="3:5" ht="15" x14ac:dyDescent="0.3">
      <c r="C126" s="24" t="s">
        <v>214</v>
      </c>
      <c r="D126" s="25">
        <v>39554</v>
      </c>
      <c r="E126" s="24">
        <v>11.75</v>
      </c>
    </row>
    <row r="127" spans="3:5" ht="15" x14ac:dyDescent="0.3">
      <c r="C127" s="24" t="s">
        <v>215</v>
      </c>
      <c r="D127" s="25">
        <v>39512</v>
      </c>
      <c r="E127" s="24">
        <v>11.25</v>
      </c>
    </row>
    <row r="128" spans="3:5" ht="15" x14ac:dyDescent="0.3">
      <c r="C128" s="24" t="s">
        <v>216</v>
      </c>
      <c r="D128" s="25">
        <v>39470</v>
      </c>
      <c r="E128" s="24">
        <v>11.25</v>
      </c>
    </row>
    <row r="129" spans="3:5" ht="15" x14ac:dyDescent="0.3">
      <c r="C129" s="24" t="s">
        <v>217</v>
      </c>
      <c r="D129" s="25">
        <v>39421</v>
      </c>
      <c r="E129" s="24">
        <v>11.25</v>
      </c>
    </row>
    <row r="130" spans="3:5" ht="15" x14ac:dyDescent="0.3">
      <c r="C130" s="24" t="s">
        <v>218</v>
      </c>
      <c r="D130" s="25">
        <v>39372</v>
      </c>
      <c r="E130" s="24">
        <v>11.25</v>
      </c>
    </row>
    <row r="131" spans="3:5" ht="15" x14ac:dyDescent="0.3">
      <c r="C131" s="24" t="s">
        <v>219</v>
      </c>
      <c r="D131" s="25">
        <v>39330</v>
      </c>
      <c r="E131" s="24">
        <v>11.25</v>
      </c>
    </row>
    <row r="132" spans="3:5" ht="15" x14ac:dyDescent="0.3">
      <c r="C132" s="24" t="s">
        <v>220</v>
      </c>
      <c r="D132" s="25">
        <v>39281</v>
      </c>
      <c r="E132" s="24">
        <v>11.5</v>
      </c>
    </row>
    <row r="133" spans="3:5" ht="15" x14ac:dyDescent="0.3">
      <c r="C133" s="24" t="s">
        <v>221</v>
      </c>
      <c r="D133" s="25">
        <v>39239</v>
      </c>
      <c r="E133" s="24">
        <v>12</v>
      </c>
    </row>
    <row r="134" spans="3:5" ht="15" x14ac:dyDescent="0.3">
      <c r="C134" s="24" t="s">
        <v>222</v>
      </c>
      <c r="D134" s="25">
        <v>39190</v>
      </c>
      <c r="E134" s="24">
        <v>12.5</v>
      </c>
    </row>
    <row r="135" spans="3:5" ht="15" x14ac:dyDescent="0.3">
      <c r="C135" s="24" t="s">
        <v>223</v>
      </c>
      <c r="D135" s="25">
        <v>39148</v>
      </c>
      <c r="E135" s="24">
        <v>12.75</v>
      </c>
    </row>
    <row r="136" spans="3:5" ht="15" x14ac:dyDescent="0.3">
      <c r="C136" s="24" t="s">
        <v>224</v>
      </c>
      <c r="D136" s="25">
        <v>39106</v>
      </c>
      <c r="E136" s="24">
        <v>13</v>
      </c>
    </row>
    <row r="137" spans="3:5" ht="15" x14ac:dyDescent="0.3">
      <c r="C137" s="24" t="s">
        <v>225</v>
      </c>
      <c r="D137" s="25">
        <v>39050</v>
      </c>
      <c r="E137" s="24">
        <v>13.25</v>
      </c>
    </row>
    <row r="138" spans="3:5" ht="15" x14ac:dyDescent="0.3">
      <c r="C138" s="24" t="s">
        <v>226</v>
      </c>
      <c r="D138" s="25">
        <v>39007</v>
      </c>
      <c r="E138" s="24">
        <v>13.75</v>
      </c>
    </row>
    <row r="139" spans="3:5" ht="15" x14ac:dyDescent="0.3">
      <c r="C139" s="24" t="s">
        <v>227</v>
      </c>
      <c r="D139" s="25">
        <v>38959</v>
      </c>
      <c r="E139" s="24">
        <v>14.25</v>
      </c>
    </row>
    <row r="140" spans="3:5" ht="15" x14ac:dyDescent="0.3">
      <c r="C140" s="24" t="s">
        <v>228</v>
      </c>
      <c r="D140" s="25">
        <v>38917</v>
      </c>
      <c r="E140" s="24">
        <v>14.75</v>
      </c>
    </row>
    <row r="141" spans="3:5" ht="15" x14ac:dyDescent="0.3">
      <c r="C141" s="24" t="s">
        <v>229</v>
      </c>
      <c r="D141" s="25">
        <v>38868</v>
      </c>
      <c r="E141" s="24">
        <v>15.25</v>
      </c>
    </row>
    <row r="142" spans="3:5" ht="15" x14ac:dyDescent="0.3">
      <c r="C142" s="24" t="s">
        <v>230</v>
      </c>
      <c r="D142" s="25">
        <v>38826</v>
      </c>
      <c r="E142" s="24">
        <v>15.75</v>
      </c>
    </row>
    <row r="143" spans="3:5" ht="15" x14ac:dyDescent="0.3">
      <c r="C143" s="24" t="s">
        <v>231</v>
      </c>
      <c r="D143" s="25">
        <v>38784</v>
      </c>
      <c r="E143" s="24">
        <v>16.5</v>
      </c>
    </row>
    <row r="144" spans="3:5" ht="15" x14ac:dyDescent="0.3">
      <c r="C144" s="24" t="s">
        <v>232</v>
      </c>
      <c r="D144" s="25">
        <v>38735</v>
      </c>
      <c r="E144" s="24">
        <v>17.25</v>
      </c>
    </row>
    <row r="145" spans="3:5" ht="15" x14ac:dyDescent="0.3">
      <c r="C145" s="24" t="s">
        <v>233</v>
      </c>
      <c r="D145" s="25">
        <v>38700</v>
      </c>
      <c r="E145" s="24">
        <v>18</v>
      </c>
    </row>
    <row r="146" spans="3:5" ht="15" x14ac:dyDescent="0.3">
      <c r="C146" s="24" t="s">
        <v>234</v>
      </c>
      <c r="D146" s="25">
        <v>38679</v>
      </c>
      <c r="E146" s="24">
        <v>18.5</v>
      </c>
    </row>
    <row r="147" spans="3:5" ht="15" x14ac:dyDescent="0.3">
      <c r="C147" s="24" t="s">
        <v>235</v>
      </c>
      <c r="D147" s="25">
        <v>38644</v>
      </c>
      <c r="E147" s="24">
        <v>19</v>
      </c>
    </row>
    <row r="148" spans="3:5" ht="15" x14ac:dyDescent="0.3">
      <c r="C148" s="24" t="s">
        <v>236</v>
      </c>
      <c r="D148" s="25">
        <v>38609</v>
      </c>
      <c r="E148" s="24">
        <v>19.5</v>
      </c>
    </row>
    <row r="149" spans="3:5" ht="15" x14ac:dyDescent="0.3">
      <c r="C149" s="24" t="s">
        <v>237</v>
      </c>
      <c r="D149" s="25">
        <v>38581</v>
      </c>
      <c r="E149" s="24">
        <v>19.75</v>
      </c>
    </row>
    <row r="150" spans="3:5" ht="15" x14ac:dyDescent="0.3">
      <c r="C150" s="24" t="s">
        <v>238</v>
      </c>
      <c r="D150" s="25">
        <v>38553</v>
      </c>
      <c r="E150" s="24">
        <v>19.75</v>
      </c>
    </row>
    <row r="151" spans="3:5" ht="15" x14ac:dyDescent="0.3">
      <c r="C151" s="24" t="s">
        <v>239</v>
      </c>
      <c r="D151" s="25">
        <v>38518</v>
      </c>
      <c r="E151" s="24">
        <v>19.75</v>
      </c>
    </row>
    <row r="152" spans="3:5" ht="15" x14ac:dyDescent="0.3">
      <c r="C152" s="24" t="s">
        <v>240</v>
      </c>
      <c r="D152" s="25">
        <v>38490</v>
      </c>
      <c r="E152" s="24">
        <v>19.75</v>
      </c>
    </row>
    <row r="153" spans="3:5" ht="15" x14ac:dyDescent="0.3">
      <c r="C153" s="24" t="s">
        <v>241</v>
      </c>
      <c r="D153" s="25">
        <v>38462</v>
      </c>
      <c r="E153" s="24">
        <v>19.5</v>
      </c>
    </row>
    <row r="154" spans="3:5" ht="15" x14ac:dyDescent="0.3">
      <c r="C154" s="24" t="s">
        <v>242</v>
      </c>
      <c r="D154" s="25">
        <v>38427</v>
      </c>
      <c r="E154" s="24">
        <v>19.25</v>
      </c>
    </row>
    <row r="155" spans="3:5" ht="15" x14ac:dyDescent="0.3">
      <c r="C155" s="24" t="s">
        <v>243</v>
      </c>
      <c r="D155" s="25">
        <v>38399</v>
      </c>
      <c r="E155" s="24">
        <v>18.75</v>
      </c>
    </row>
    <row r="156" spans="3:5" ht="15" x14ac:dyDescent="0.3">
      <c r="C156" s="24" t="s">
        <v>244</v>
      </c>
      <c r="D156" s="25">
        <v>38371</v>
      </c>
      <c r="E156" s="24">
        <v>18.25</v>
      </c>
    </row>
    <row r="157" spans="3:5" ht="15" x14ac:dyDescent="0.3">
      <c r="C157" s="24" t="s">
        <v>245</v>
      </c>
      <c r="D157" s="25">
        <v>38336</v>
      </c>
      <c r="E157" s="24">
        <v>17.75</v>
      </c>
    </row>
    <row r="158" spans="3:5" ht="15" x14ac:dyDescent="0.3">
      <c r="C158" s="24" t="s">
        <v>246</v>
      </c>
      <c r="D158" s="25">
        <v>38308</v>
      </c>
      <c r="E158" s="24">
        <v>17.25</v>
      </c>
    </row>
    <row r="159" spans="3:5" ht="15" x14ac:dyDescent="0.3">
      <c r="C159" s="24" t="s">
        <v>247</v>
      </c>
      <c r="D159" s="25">
        <v>38279</v>
      </c>
      <c r="E159" s="24">
        <v>16.75</v>
      </c>
    </row>
    <row r="160" spans="3:5" ht="15" x14ac:dyDescent="0.3">
      <c r="C160" s="24" t="s">
        <v>248</v>
      </c>
      <c r="D160" s="25">
        <v>38245</v>
      </c>
      <c r="E160" s="24">
        <v>16.25</v>
      </c>
    </row>
    <row r="161" spans="3:5" ht="15" x14ac:dyDescent="0.3">
      <c r="C161" s="24" t="s">
        <v>249</v>
      </c>
      <c r="D161" s="25">
        <v>38217</v>
      </c>
      <c r="E161" s="24">
        <v>16</v>
      </c>
    </row>
    <row r="162" spans="3:5" ht="15" x14ac:dyDescent="0.3">
      <c r="C162" s="24" t="s">
        <v>250</v>
      </c>
      <c r="D162" s="25">
        <v>38189</v>
      </c>
      <c r="E162" s="24">
        <v>16</v>
      </c>
    </row>
    <row r="163" spans="3:5" ht="15" x14ac:dyDescent="0.3">
      <c r="C163" s="24" t="s">
        <v>251</v>
      </c>
      <c r="D163" s="25">
        <v>38154</v>
      </c>
      <c r="E163" s="24">
        <v>16</v>
      </c>
    </row>
    <row r="164" spans="3:5" ht="15" x14ac:dyDescent="0.3">
      <c r="C164" s="24" t="s">
        <v>252</v>
      </c>
      <c r="D164" s="25">
        <v>38126</v>
      </c>
      <c r="E164" s="24">
        <v>16</v>
      </c>
    </row>
    <row r="165" spans="3:5" ht="15" x14ac:dyDescent="0.3">
      <c r="C165" s="24" t="s">
        <v>253</v>
      </c>
      <c r="D165" s="25">
        <v>38091</v>
      </c>
      <c r="E165" s="24">
        <v>16</v>
      </c>
    </row>
    <row r="166" spans="3:5" ht="15" x14ac:dyDescent="0.3">
      <c r="C166" s="24" t="s">
        <v>254</v>
      </c>
      <c r="D166" s="25">
        <v>38063</v>
      </c>
      <c r="E166" s="24">
        <v>16.25</v>
      </c>
    </row>
    <row r="167" spans="3:5" ht="15" x14ac:dyDescent="0.3">
      <c r="C167" s="24" t="s">
        <v>255</v>
      </c>
      <c r="D167" s="25">
        <v>38035</v>
      </c>
      <c r="E167" s="24">
        <v>16.5</v>
      </c>
    </row>
    <row r="168" spans="3:5" ht="15" x14ac:dyDescent="0.3">
      <c r="C168" s="24" t="s">
        <v>256</v>
      </c>
      <c r="D168" s="25">
        <v>38007</v>
      </c>
      <c r="E168" s="24">
        <v>16.5</v>
      </c>
    </row>
    <row r="169" spans="3:5" ht="15" x14ac:dyDescent="0.3">
      <c r="C169" s="24" t="s">
        <v>257</v>
      </c>
      <c r="D169" s="25">
        <v>37972</v>
      </c>
      <c r="E169" s="24">
        <v>16.5</v>
      </c>
    </row>
    <row r="170" spans="3:5" ht="15" x14ac:dyDescent="0.3">
      <c r="C170" s="24" t="s">
        <v>258</v>
      </c>
      <c r="D170" s="25">
        <v>37944</v>
      </c>
      <c r="E170" s="24">
        <v>17.5</v>
      </c>
    </row>
    <row r="171" spans="3:5" ht="15" x14ac:dyDescent="0.3">
      <c r="C171" s="24" t="s">
        <v>259</v>
      </c>
      <c r="D171" s="25">
        <v>37916</v>
      </c>
      <c r="E171" s="24">
        <v>19</v>
      </c>
    </row>
    <row r="172" spans="3:5" ht="15" x14ac:dyDescent="0.3">
      <c r="C172" s="24" t="s">
        <v>260</v>
      </c>
      <c r="D172" s="25">
        <v>37881</v>
      </c>
      <c r="E172" s="24">
        <v>20</v>
      </c>
    </row>
    <row r="173" spans="3:5" ht="15" x14ac:dyDescent="0.3">
      <c r="C173" s="24" t="s">
        <v>261</v>
      </c>
      <c r="D173" s="25">
        <v>37853</v>
      </c>
      <c r="E173" s="24">
        <v>22</v>
      </c>
    </row>
    <row r="174" spans="3:5" ht="15" x14ac:dyDescent="0.3">
      <c r="C174" s="24" t="s">
        <v>262</v>
      </c>
      <c r="D174" s="25">
        <v>37825</v>
      </c>
      <c r="E174" s="24">
        <v>24.5</v>
      </c>
    </row>
    <row r="175" spans="3:5" ht="15" x14ac:dyDescent="0.3">
      <c r="C175" s="24" t="s">
        <v>263</v>
      </c>
      <c r="D175" s="25">
        <v>37790</v>
      </c>
      <c r="E175" s="24">
        <v>26</v>
      </c>
    </row>
    <row r="176" spans="3:5" ht="15" x14ac:dyDescent="0.3">
      <c r="C176" s="24" t="s">
        <v>264</v>
      </c>
      <c r="D176" s="25">
        <v>37762</v>
      </c>
      <c r="E176" s="24">
        <v>26.5</v>
      </c>
    </row>
    <row r="177" spans="3:5" ht="15" x14ac:dyDescent="0.3">
      <c r="C177" s="24" t="s">
        <v>265</v>
      </c>
      <c r="D177" s="25">
        <v>37734</v>
      </c>
      <c r="E177" s="24">
        <v>26.5</v>
      </c>
    </row>
    <row r="178" spans="3:5" ht="15" x14ac:dyDescent="0.3">
      <c r="C178" s="24" t="s">
        <v>266</v>
      </c>
      <c r="D178" s="25">
        <v>37699</v>
      </c>
      <c r="E178" s="24">
        <v>26.5</v>
      </c>
    </row>
    <row r="179" spans="3:5" ht="15" x14ac:dyDescent="0.3">
      <c r="C179" s="24" t="s">
        <v>267</v>
      </c>
      <c r="D179" s="25">
        <v>37671</v>
      </c>
      <c r="E179" s="24">
        <v>26.5</v>
      </c>
    </row>
    <row r="180" spans="3:5" ht="15" x14ac:dyDescent="0.3">
      <c r="C180" s="24" t="s">
        <v>268</v>
      </c>
      <c r="D180" s="25">
        <v>37643</v>
      </c>
      <c r="E180" s="24">
        <v>25.5</v>
      </c>
    </row>
    <row r="181" spans="3:5" ht="15" x14ac:dyDescent="0.3">
      <c r="C181" s="24" t="s">
        <v>269</v>
      </c>
      <c r="D181" s="25">
        <v>37608</v>
      </c>
      <c r="E181" s="24">
        <v>25</v>
      </c>
    </row>
    <row r="182" spans="3:5" ht="15" x14ac:dyDescent="0.3">
      <c r="C182" s="24" t="s">
        <v>270</v>
      </c>
      <c r="D182" s="25">
        <v>37580</v>
      </c>
      <c r="E182" s="24">
        <v>22</v>
      </c>
    </row>
    <row r="183" spans="3:5" ht="15" x14ac:dyDescent="0.3">
      <c r="C183" s="24" t="s">
        <v>271</v>
      </c>
      <c r="D183" s="25">
        <v>37551</v>
      </c>
      <c r="E183" s="24">
        <v>21</v>
      </c>
    </row>
    <row r="184" spans="3:5" ht="15" x14ac:dyDescent="0.3">
      <c r="C184" s="24" t="s">
        <v>345</v>
      </c>
      <c r="D184" s="25">
        <v>37543</v>
      </c>
      <c r="E184" s="24">
        <v>21</v>
      </c>
    </row>
    <row r="185" spans="3:5" ht="15" x14ac:dyDescent="0.3">
      <c r="C185" s="24" t="s">
        <v>272</v>
      </c>
      <c r="D185" s="25">
        <v>37517</v>
      </c>
      <c r="E185" s="24">
        <v>18</v>
      </c>
    </row>
    <row r="186" spans="3:5" ht="15" x14ac:dyDescent="0.3">
      <c r="C186" s="24" t="s">
        <v>273</v>
      </c>
      <c r="D186" s="25">
        <v>37489</v>
      </c>
      <c r="E186" s="24">
        <v>18</v>
      </c>
    </row>
    <row r="187" spans="3:5" ht="15" x14ac:dyDescent="0.3">
      <c r="C187" s="24" t="s">
        <v>274</v>
      </c>
      <c r="D187" s="25">
        <v>37454</v>
      </c>
      <c r="E187" s="24">
        <v>18</v>
      </c>
    </row>
    <row r="188" spans="3:5" ht="15" x14ac:dyDescent="0.3">
      <c r="C188" s="24" t="s">
        <v>275</v>
      </c>
      <c r="D188" s="25">
        <v>37426</v>
      </c>
      <c r="E188" s="24">
        <v>18.5</v>
      </c>
    </row>
    <row r="189" spans="3:5" ht="15" x14ac:dyDescent="0.3">
      <c r="C189" s="24" t="s">
        <v>276</v>
      </c>
      <c r="D189" s="25">
        <v>37398</v>
      </c>
      <c r="E189" s="24">
        <v>18.5</v>
      </c>
    </row>
    <row r="190" spans="3:5" ht="15" x14ac:dyDescent="0.3">
      <c r="C190" s="24" t="s">
        <v>277</v>
      </c>
      <c r="D190" s="25">
        <v>37363</v>
      </c>
      <c r="E190" s="24">
        <v>18.5</v>
      </c>
    </row>
    <row r="191" spans="3:5" ht="15" x14ac:dyDescent="0.3">
      <c r="C191" s="24" t="s">
        <v>278</v>
      </c>
      <c r="D191" s="25">
        <v>37335</v>
      </c>
      <c r="E191" s="24">
        <v>18.5</v>
      </c>
    </row>
    <row r="192" spans="3:5" ht="15" x14ac:dyDescent="0.3">
      <c r="C192" s="24" t="s">
        <v>279</v>
      </c>
      <c r="D192" s="25">
        <v>37307</v>
      </c>
      <c r="E192" s="24">
        <v>18.75</v>
      </c>
    </row>
    <row r="193" spans="3:5" ht="15" x14ac:dyDescent="0.3">
      <c r="C193" s="24" t="s">
        <v>280</v>
      </c>
      <c r="D193" s="25">
        <v>37279</v>
      </c>
      <c r="E193" s="24">
        <v>19</v>
      </c>
    </row>
    <row r="194" spans="3:5" ht="15" x14ac:dyDescent="0.3">
      <c r="C194" s="24" t="s">
        <v>281</v>
      </c>
      <c r="D194" s="25">
        <v>37244</v>
      </c>
      <c r="E194" s="24">
        <v>19</v>
      </c>
    </row>
    <row r="195" spans="3:5" ht="15" x14ac:dyDescent="0.3">
      <c r="C195" s="24" t="s">
        <v>282</v>
      </c>
      <c r="D195" s="25">
        <v>37216</v>
      </c>
      <c r="E195" s="24">
        <v>19</v>
      </c>
    </row>
    <row r="196" spans="3:5" ht="15" x14ac:dyDescent="0.3">
      <c r="C196" s="24" t="s">
        <v>283</v>
      </c>
      <c r="D196" s="25">
        <v>37181</v>
      </c>
      <c r="E196" s="24">
        <v>19</v>
      </c>
    </row>
    <row r="197" spans="3:5" ht="15" x14ac:dyDescent="0.3">
      <c r="C197" s="24" t="s">
        <v>284</v>
      </c>
      <c r="D197" s="25">
        <v>37153</v>
      </c>
      <c r="E197" s="24">
        <v>19</v>
      </c>
    </row>
    <row r="198" spans="3:5" ht="15" x14ac:dyDescent="0.3">
      <c r="C198" s="24" t="s">
        <v>285</v>
      </c>
      <c r="D198" s="25">
        <v>37125</v>
      </c>
      <c r="E198" s="24">
        <v>19</v>
      </c>
    </row>
    <row r="199" spans="3:5" ht="15" x14ac:dyDescent="0.3">
      <c r="C199" s="24" t="s">
        <v>286</v>
      </c>
      <c r="D199" s="25">
        <v>37090</v>
      </c>
      <c r="E199" s="24">
        <v>19</v>
      </c>
    </row>
    <row r="200" spans="3:5" ht="15" x14ac:dyDescent="0.3">
      <c r="C200" s="24" t="s">
        <v>287</v>
      </c>
      <c r="D200" s="25">
        <v>37062</v>
      </c>
      <c r="E200" s="24">
        <v>18.25</v>
      </c>
    </row>
    <row r="201" spans="3:5" ht="15" x14ac:dyDescent="0.3">
      <c r="C201" s="24" t="s">
        <v>288</v>
      </c>
      <c r="D201" s="25">
        <v>37034</v>
      </c>
      <c r="E201" s="24">
        <v>16.75</v>
      </c>
    </row>
    <row r="202" spans="3:5" ht="15" x14ac:dyDescent="0.3">
      <c r="C202" s="24" t="s">
        <v>289</v>
      </c>
      <c r="D202" s="25">
        <v>36999</v>
      </c>
      <c r="E202" s="24">
        <v>16.25</v>
      </c>
    </row>
    <row r="203" spans="3:5" ht="15" x14ac:dyDescent="0.3">
      <c r="C203" s="24" t="s">
        <v>290</v>
      </c>
      <c r="D203" s="25">
        <v>36971</v>
      </c>
      <c r="E203" s="24">
        <v>15.75</v>
      </c>
    </row>
    <row r="204" spans="3:5" ht="15" x14ac:dyDescent="0.3">
      <c r="C204" s="24" t="s">
        <v>291</v>
      </c>
      <c r="D204" s="25">
        <v>36936</v>
      </c>
      <c r="E204" s="24">
        <v>15.25</v>
      </c>
    </row>
    <row r="205" spans="3:5" ht="15" x14ac:dyDescent="0.3">
      <c r="C205" s="24" t="s">
        <v>292</v>
      </c>
      <c r="D205" s="25">
        <v>36908</v>
      </c>
      <c r="E205" s="24">
        <v>15.25</v>
      </c>
    </row>
    <row r="206" spans="3:5" ht="15" x14ac:dyDescent="0.3">
      <c r="C206" s="24" t="s">
        <v>293</v>
      </c>
      <c r="D206" s="25">
        <v>36880</v>
      </c>
      <c r="E206" s="24">
        <v>15.75</v>
      </c>
    </row>
    <row r="207" spans="3:5" ht="15" x14ac:dyDescent="0.3">
      <c r="C207" s="24" t="s">
        <v>294</v>
      </c>
      <c r="D207" s="25">
        <v>36852</v>
      </c>
      <c r="E207" s="24">
        <v>16.5</v>
      </c>
    </row>
    <row r="208" spans="3:5" ht="15" x14ac:dyDescent="0.3">
      <c r="C208" s="24" t="s">
        <v>295</v>
      </c>
      <c r="D208" s="25">
        <v>36817</v>
      </c>
      <c r="E208" s="24">
        <v>16.5</v>
      </c>
    </row>
    <row r="209" spans="3:5" ht="15" x14ac:dyDescent="0.3">
      <c r="C209" s="24" t="s">
        <v>296</v>
      </c>
      <c r="D209" s="25">
        <v>36789</v>
      </c>
      <c r="E209" s="24">
        <v>16.5</v>
      </c>
    </row>
    <row r="210" spans="3:5" ht="15" x14ac:dyDescent="0.3">
      <c r="C210" s="24" t="s">
        <v>297</v>
      </c>
      <c r="D210" s="25">
        <v>36761</v>
      </c>
      <c r="E210" s="24">
        <v>16.5</v>
      </c>
    </row>
    <row r="211" spans="3:5" ht="15" x14ac:dyDescent="0.3">
      <c r="C211" s="24" t="s">
        <v>298</v>
      </c>
      <c r="D211" s="25">
        <v>36726</v>
      </c>
      <c r="E211" s="24">
        <v>16.5</v>
      </c>
    </row>
    <row r="212" spans="3:5" ht="15" x14ac:dyDescent="0.3">
      <c r="C212" s="24" t="s">
        <v>299</v>
      </c>
      <c r="D212" s="24"/>
      <c r="E212" s="24">
        <v>17</v>
      </c>
    </row>
    <row r="213" spans="3:5" ht="15" x14ac:dyDescent="0.3">
      <c r="C213" s="24" t="s">
        <v>299</v>
      </c>
      <c r="D213" s="25">
        <v>36697</v>
      </c>
      <c r="E213" s="24">
        <v>17.5</v>
      </c>
    </row>
    <row r="214" spans="3:5" ht="15" x14ac:dyDescent="0.3">
      <c r="C214" s="24" t="s">
        <v>300</v>
      </c>
      <c r="D214" s="25">
        <v>36670</v>
      </c>
      <c r="E214" s="24">
        <v>18.5</v>
      </c>
    </row>
    <row r="215" spans="3:5" ht="15" x14ac:dyDescent="0.3">
      <c r="C215" s="24" t="s">
        <v>301</v>
      </c>
      <c r="D215" s="25">
        <v>36635</v>
      </c>
      <c r="E215" s="24">
        <v>18.5</v>
      </c>
    </row>
    <row r="216" spans="3:5" ht="15" x14ac:dyDescent="0.3">
      <c r="C216" s="24" t="s">
        <v>302</v>
      </c>
      <c r="D216" s="24"/>
      <c r="E216" s="24">
        <v>18.5</v>
      </c>
    </row>
    <row r="217" spans="3:5" ht="15" x14ac:dyDescent="0.3">
      <c r="C217" s="24" t="s">
        <v>302</v>
      </c>
      <c r="D217" s="25">
        <v>36607</v>
      </c>
      <c r="E217" s="24">
        <v>19</v>
      </c>
    </row>
    <row r="218" spans="3:5" ht="15" x14ac:dyDescent="0.3">
      <c r="C218" s="24" t="s">
        <v>303</v>
      </c>
      <c r="D218" s="25">
        <v>36572</v>
      </c>
      <c r="E218" s="24">
        <v>19</v>
      </c>
    </row>
    <row r="219" spans="3:5" ht="15" x14ac:dyDescent="0.3">
      <c r="C219" s="24" t="s">
        <v>304</v>
      </c>
      <c r="D219" s="25">
        <v>36544</v>
      </c>
      <c r="E219" s="24">
        <v>19</v>
      </c>
    </row>
    <row r="220" spans="3:5" ht="15" x14ac:dyDescent="0.3">
      <c r="C220" s="24" t="s">
        <v>305</v>
      </c>
      <c r="D220" s="25">
        <v>36509</v>
      </c>
      <c r="E220" s="24">
        <v>19</v>
      </c>
    </row>
    <row r="221" spans="3:5" ht="15" x14ac:dyDescent="0.3">
      <c r="C221" s="24" t="s">
        <v>306</v>
      </c>
      <c r="D221" s="25">
        <v>36474</v>
      </c>
      <c r="E221" s="24">
        <v>19</v>
      </c>
    </row>
    <row r="222" spans="3:5" ht="15" x14ac:dyDescent="0.3">
      <c r="C222" s="24" t="s">
        <v>307</v>
      </c>
      <c r="D222" s="25">
        <v>36439</v>
      </c>
      <c r="E222" s="24">
        <v>19</v>
      </c>
    </row>
    <row r="223" spans="3:5" ht="15" x14ac:dyDescent="0.3">
      <c r="C223" s="24" t="s">
        <v>308</v>
      </c>
      <c r="D223" s="25">
        <v>36425</v>
      </c>
      <c r="E223" s="24">
        <v>19</v>
      </c>
    </row>
    <row r="224" spans="3:5" ht="15" x14ac:dyDescent="0.3">
      <c r="C224" s="24" t="s">
        <v>309</v>
      </c>
      <c r="D224" s="25">
        <v>36404</v>
      </c>
      <c r="E224" s="24">
        <v>19.5</v>
      </c>
    </row>
    <row r="225" spans="3:5" ht="15" x14ac:dyDescent="0.3">
      <c r="C225" s="24" t="s">
        <v>310</v>
      </c>
      <c r="D225" s="25">
        <v>36369</v>
      </c>
      <c r="E225" s="24">
        <v>19.5</v>
      </c>
    </row>
    <row r="226" spans="3:5" ht="15" x14ac:dyDescent="0.3">
      <c r="C226" s="24" t="s">
        <v>311</v>
      </c>
      <c r="D226" s="25">
        <v>36334</v>
      </c>
      <c r="E226" s="24">
        <v>21</v>
      </c>
    </row>
    <row r="227" spans="3:5" ht="15" x14ac:dyDescent="0.3">
      <c r="C227" s="24" t="s">
        <v>312</v>
      </c>
      <c r="D227" s="24"/>
      <c r="E227" s="24">
        <v>22</v>
      </c>
    </row>
    <row r="228" spans="3:5" ht="15" x14ac:dyDescent="0.3">
      <c r="C228" s="24" t="s">
        <v>312</v>
      </c>
      <c r="D228" s="25">
        <v>36299</v>
      </c>
      <c r="E228" s="24">
        <v>23.5</v>
      </c>
    </row>
    <row r="229" spans="3:5" ht="15" x14ac:dyDescent="0.3">
      <c r="C229" s="24" t="s">
        <v>313</v>
      </c>
      <c r="D229" s="24"/>
      <c r="E229" s="24">
        <v>27</v>
      </c>
    </row>
    <row r="230" spans="3:5" ht="15" x14ac:dyDescent="0.3">
      <c r="C230" s="24" t="s">
        <v>313</v>
      </c>
      <c r="D230" s="24"/>
      <c r="E230" s="24">
        <v>29.5</v>
      </c>
    </row>
    <row r="231" spans="3:5" ht="15" x14ac:dyDescent="0.3">
      <c r="C231" s="24" t="s">
        <v>313</v>
      </c>
      <c r="D231" s="24"/>
      <c r="E231" s="24">
        <v>32</v>
      </c>
    </row>
    <row r="232" spans="3:5" ht="15" x14ac:dyDescent="0.3">
      <c r="C232" s="24" t="s">
        <v>313</v>
      </c>
      <c r="D232" s="25">
        <v>36264</v>
      </c>
      <c r="E232" s="24">
        <v>34</v>
      </c>
    </row>
    <row r="233" spans="3:5" ht="15" x14ac:dyDescent="0.3">
      <c r="C233" s="24" t="s">
        <v>314</v>
      </c>
      <c r="D233" s="24"/>
      <c r="E233" s="24">
        <v>39.5</v>
      </c>
    </row>
    <row r="234" spans="3:5" ht="15" x14ac:dyDescent="0.3">
      <c r="C234" s="24" t="s">
        <v>314</v>
      </c>
      <c r="D234" s="24"/>
      <c r="E234" s="24">
        <v>42</v>
      </c>
    </row>
    <row r="235" spans="3:5" ht="15" x14ac:dyDescent="0.3">
      <c r="C235" s="24" t="s">
        <v>314</v>
      </c>
      <c r="D235" s="25">
        <v>36223</v>
      </c>
      <c r="E235" s="24">
        <v>45</v>
      </c>
    </row>
    <row r="236" spans="3:5" ht="15" x14ac:dyDescent="0.3">
      <c r="C236" s="24" t="s">
        <v>315</v>
      </c>
      <c r="D236" s="25">
        <v>36178</v>
      </c>
      <c r="E236" s="24">
        <v>25</v>
      </c>
    </row>
    <row r="237" spans="3:5" ht="15" x14ac:dyDescent="0.3">
      <c r="C237" s="24" t="s">
        <v>316</v>
      </c>
      <c r="D237" s="25">
        <v>36145</v>
      </c>
      <c r="E237" s="24">
        <v>29</v>
      </c>
    </row>
    <row r="238" spans="3:5" ht="15" x14ac:dyDescent="0.3">
      <c r="C238" s="24" t="s">
        <v>317</v>
      </c>
      <c r="D238" s="25">
        <v>36110</v>
      </c>
      <c r="E238" s="24">
        <v>19</v>
      </c>
    </row>
    <row r="239" spans="3:5" ht="15" x14ac:dyDescent="0.3">
      <c r="C239" s="24" t="s">
        <v>318</v>
      </c>
      <c r="D239" s="25">
        <v>36075</v>
      </c>
      <c r="E239" s="24">
        <v>19</v>
      </c>
    </row>
    <row r="240" spans="3:5" ht="15" x14ac:dyDescent="0.3">
      <c r="C240" s="24" t="s">
        <v>346</v>
      </c>
      <c r="D240" s="25">
        <v>36048</v>
      </c>
      <c r="E240" s="24">
        <v>19</v>
      </c>
    </row>
    <row r="241" spans="3:5" ht="15" x14ac:dyDescent="0.3">
      <c r="C241" s="24" t="s">
        <v>319</v>
      </c>
      <c r="D241" s="25">
        <v>36040</v>
      </c>
      <c r="E241" s="24">
        <v>19</v>
      </c>
    </row>
    <row r="242" spans="3:5" ht="15" x14ac:dyDescent="0.3">
      <c r="C242" s="24" t="s">
        <v>320</v>
      </c>
      <c r="D242" s="25">
        <v>36005</v>
      </c>
      <c r="E242" s="24">
        <v>19.75</v>
      </c>
    </row>
    <row r="243" spans="3:5" ht="15" x14ac:dyDescent="0.3">
      <c r="C243" s="24" t="s">
        <v>321</v>
      </c>
      <c r="D243" s="25">
        <v>35970</v>
      </c>
      <c r="E243" s="24">
        <v>21</v>
      </c>
    </row>
    <row r="244" spans="3:5" ht="15" x14ac:dyDescent="0.3">
      <c r="C244" s="24" t="s">
        <v>322</v>
      </c>
      <c r="D244" s="25">
        <v>35935</v>
      </c>
      <c r="E244" s="24">
        <v>21.75</v>
      </c>
    </row>
    <row r="245" spans="3:5" ht="15" x14ac:dyDescent="0.3">
      <c r="C245" s="24" t="s">
        <v>323</v>
      </c>
      <c r="D245" s="25">
        <v>35900</v>
      </c>
      <c r="E245" s="24">
        <v>23.25</v>
      </c>
    </row>
    <row r="246" spans="3:5" ht="15" x14ac:dyDescent="0.3">
      <c r="C246" s="24" t="s">
        <v>324</v>
      </c>
      <c r="D246" s="25">
        <v>35858</v>
      </c>
      <c r="E246" s="24">
        <v>28</v>
      </c>
    </row>
    <row r="247" spans="3:5" ht="15" x14ac:dyDescent="0.3">
      <c r="C247" s="24" t="s">
        <v>325</v>
      </c>
      <c r="D247" s="25">
        <v>35823</v>
      </c>
      <c r="E247" s="24">
        <v>34.5</v>
      </c>
    </row>
    <row r="248" spans="3:5" ht="15" x14ac:dyDescent="0.3">
      <c r="C248" s="24" t="s">
        <v>326</v>
      </c>
      <c r="D248" s="25">
        <v>35781</v>
      </c>
      <c r="E248" s="24">
        <v>38</v>
      </c>
    </row>
    <row r="249" spans="3:5" ht="15" x14ac:dyDescent="0.3">
      <c r="C249" s="24" t="s">
        <v>327</v>
      </c>
      <c r="D249" s="25">
        <v>35753</v>
      </c>
      <c r="E249" s="24">
        <v>2.9</v>
      </c>
    </row>
    <row r="250" spans="3:5" ht="15" x14ac:dyDescent="0.3">
      <c r="C250" s="24" t="s">
        <v>347</v>
      </c>
      <c r="D250" s="25">
        <v>35733</v>
      </c>
      <c r="E250" s="24">
        <v>3.05</v>
      </c>
    </row>
    <row r="251" spans="3:5" ht="15" x14ac:dyDescent="0.3">
      <c r="C251" s="24" t="s">
        <v>328</v>
      </c>
      <c r="D251" s="25">
        <v>35725</v>
      </c>
      <c r="E251" s="24">
        <v>1</v>
      </c>
    </row>
    <row r="252" spans="3:5" ht="15" x14ac:dyDescent="0.3">
      <c r="C252" s="24" t="s">
        <v>329</v>
      </c>
      <c r="D252" s="25">
        <v>35690</v>
      </c>
      <c r="E252" s="24">
        <v>1.58</v>
      </c>
    </row>
    <row r="253" spans="3:5" ht="15" x14ac:dyDescent="0.3">
      <c r="C253" s="24" t="s">
        <v>330</v>
      </c>
      <c r="D253" s="25">
        <v>35662</v>
      </c>
      <c r="E253" s="24">
        <v>1.58</v>
      </c>
    </row>
    <row r="254" spans="3:5" ht="15" x14ac:dyDescent="0.3">
      <c r="C254" s="24" t="s">
        <v>331</v>
      </c>
      <c r="D254" s="25">
        <v>35634</v>
      </c>
      <c r="E254" s="24">
        <v>1.58</v>
      </c>
    </row>
    <row r="255" spans="3:5" ht="15" x14ac:dyDescent="0.3">
      <c r="C255" s="24" t="s">
        <v>332</v>
      </c>
      <c r="D255" s="25">
        <v>35599</v>
      </c>
      <c r="E255" s="24">
        <v>1.58</v>
      </c>
    </row>
    <row r="256" spans="3:5" ht="15" x14ac:dyDescent="0.3">
      <c r="C256" s="24" t="s">
        <v>333</v>
      </c>
      <c r="D256" s="25">
        <v>35571</v>
      </c>
      <c r="E256" s="24">
        <v>1.58</v>
      </c>
    </row>
    <row r="257" spans="3:5" ht="15" x14ac:dyDescent="0.3">
      <c r="C257" s="24" t="s">
        <v>334</v>
      </c>
      <c r="D257" s="25">
        <v>35536</v>
      </c>
      <c r="E257" s="24">
        <v>1.58</v>
      </c>
    </row>
    <row r="258" spans="3:5" ht="15" x14ac:dyDescent="0.3">
      <c r="C258" s="24" t="s">
        <v>335</v>
      </c>
      <c r="D258" s="25">
        <v>35508</v>
      </c>
      <c r="E258" s="24">
        <v>1.58</v>
      </c>
    </row>
    <row r="259" spans="3:5" ht="15" x14ac:dyDescent="0.3">
      <c r="C259" s="24" t="s">
        <v>336</v>
      </c>
      <c r="D259" s="25">
        <v>35480</v>
      </c>
      <c r="E259" s="24">
        <v>1.62</v>
      </c>
    </row>
    <row r="260" spans="3:5" ht="15" x14ac:dyDescent="0.3">
      <c r="C260" s="24" t="s">
        <v>337</v>
      </c>
      <c r="D260" s="25">
        <v>35452</v>
      </c>
      <c r="E260" s="24">
        <v>1.66</v>
      </c>
    </row>
    <row r="261" spans="3:5" ht="15" x14ac:dyDescent="0.3">
      <c r="C261" s="24" t="s">
        <v>338</v>
      </c>
      <c r="D261" s="25">
        <v>35417</v>
      </c>
      <c r="E261" s="24">
        <v>1.7</v>
      </c>
    </row>
    <row r="262" spans="3:5" ht="15" x14ac:dyDescent="0.3">
      <c r="C262" s="24" t="s">
        <v>339</v>
      </c>
      <c r="D262" s="25">
        <v>35396</v>
      </c>
      <c r="E262" s="24">
        <v>1.74</v>
      </c>
    </row>
    <row r="263" spans="3:5" ht="15" x14ac:dyDescent="0.3">
      <c r="C263" s="24" t="s">
        <v>340</v>
      </c>
      <c r="D263" s="25">
        <v>35361</v>
      </c>
      <c r="E263" s="24">
        <v>1.78</v>
      </c>
    </row>
    <row r="264" spans="3:5" ht="15" x14ac:dyDescent="0.3">
      <c r="C264" s="24" t="s">
        <v>341</v>
      </c>
      <c r="D264" s="25">
        <v>35331</v>
      </c>
      <c r="E264" s="24">
        <v>1.82</v>
      </c>
    </row>
    <row r="265" spans="3:5" ht="15" x14ac:dyDescent="0.3">
      <c r="C265" s="24" t="s">
        <v>342</v>
      </c>
      <c r="D265" s="25">
        <v>35298</v>
      </c>
      <c r="E265" s="24">
        <v>1.88</v>
      </c>
    </row>
    <row r="266" spans="3:5" ht="15" x14ac:dyDescent="0.3">
      <c r="C266" s="24" t="s">
        <v>343</v>
      </c>
      <c r="D266" s="25">
        <v>35276</v>
      </c>
      <c r="E266" s="24">
        <v>1.9</v>
      </c>
    </row>
    <row r="267" spans="3:5" ht="15" x14ac:dyDescent="0.3">
      <c r="C267" s="24" t="s">
        <v>344</v>
      </c>
      <c r="D267" s="25">
        <v>35242</v>
      </c>
      <c r="E267" s="24">
        <v>1.9</v>
      </c>
    </row>
  </sheetData>
  <mergeCells count="1">
    <mergeCell ref="C2:D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Projeção população</vt:lpstr>
      <vt:lpstr>Projeção Óbitos</vt:lpstr>
      <vt:lpstr>Receita e Margem de Contribuiçã</vt:lpstr>
      <vt:lpstr>Custo Variável Médio</vt:lpstr>
      <vt:lpstr>Custos Fixos</vt:lpstr>
      <vt:lpstr>Investimento Inicial</vt:lpstr>
      <vt:lpstr>Fluxo de Caixa e Indicadores</vt:lpstr>
      <vt:lpstr>SELIC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Rivelli Teixeira Nogueira Leandro Rivelli</dc:creator>
  <cp:lastModifiedBy>Leandro Rivelli Teixeira Nogueira Leandro Rivelli</cp:lastModifiedBy>
  <dcterms:created xsi:type="dcterms:W3CDTF">2023-05-22T22:38:15Z</dcterms:created>
  <dcterms:modified xsi:type="dcterms:W3CDTF">2023-12-04T15:23:48Z</dcterms:modified>
</cp:coreProperties>
</file>